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0" yWindow="1500" windowWidth="7515" windowHeight="4875"/>
  </bookViews>
  <sheets>
    <sheet name="Property Purch" sheetId="8" r:id="rId1"/>
    <sheet name="Payback Ewes" sheetId="9" r:id="rId2"/>
    <sheet name="ERIC" sheetId="2" r:id="rId3"/>
    <sheet name="LEASE" sheetId="1" r:id="rId4"/>
    <sheet name="FIN OPT" sheetId="3" r:id="rId5"/>
    <sheet name="INTEREST" sheetId="5" r:id="rId6"/>
    <sheet name="LOAN SIMPLE" sheetId="7" r:id="rId7"/>
    <sheet name="LOAN PAYMENTS" sheetId="6" r:id="rId8"/>
    <sheet name="FRANKED" sheetId="4" r:id="rId9"/>
  </sheets>
  <definedNames>
    <definedName name="INTERESTRATE">'Property Purch'!$C$55</definedName>
    <definedName name="PRINCIPLE1">'Property Purch'!$C$46</definedName>
    <definedName name="_xlnm.Print_Titles" localSheetId="3">LEASE!$1:$1</definedName>
    <definedName name="Print_Titles_MI" localSheetId="3">LEASE!$1:$1</definedName>
    <definedName name="REPAYMENT1">'Property Purch'!$C$58</definedName>
    <definedName name="REPPERIOD">'Property Purch'!$C$53</definedName>
    <definedName name="SHEEPBACK">'Payback Ewes'!$B$12</definedName>
    <definedName name="WOOLSHEAR">'Payback Ewes'!$B$11</definedName>
  </definedNames>
  <calcPr calcId="125725" fullCalcOnLoad="1"/>
</workbook>
</file>

<file path=xl/calcChain.xml><?xml version="1.0" encoding="utf-8"?>
<calcChain xmlns="http://schemas.openxmlformats.org/spreadsheetml/2006/main">
  <c r="D14" i="8"/>
  <c r="E14"/>
  <c r="D18"/>
  <c r="E18"/>
  <c r="D20"/>
  <c r="E20"/>
  <c r="D25"/>
  <c r="E25"/>
  <c r="D31"/>
  <c r="E31"/>
  <c r="D35"/>
  <c r="E35"/>
  <c r="D46"/>
  <c r="E46"/>
  <c r="D48"/>
  <c r="E48"/>
  <c r="D76"/>
  <c r="E76"/>
  <c r="D97"/>
  <c r="E97"/>
  <c r="D99"/>
  <c r="E99"/>
  <c r="D106"/>
  <c r="E106"/>
  <c r="D108"/>
  <c r="E108"/>
  <c r="D109"/>
  <c r="E109"/>
  <c r="D113"/>
  <c r="E113"/>
  <c r="D28" i="9"/>
  <c r="D30"/>
  <c r="C7"/>
  <c r="D7"/>
  <c r="D8"/>
  <c r="C9"/>
  <c r="D9"/>
  <c r="D42"/>
  <c r="C28"/>
  <c r="C30"/>
  <c r="C8"/>
  <c r="C22"/>
  <c r="C25"/>
  <c r="C42"/>
  <c r="B28"/>
  <c r="B30"/>
  <c r="B8"/>
  <c r="B21"/>
  <c r="B22"/>
  <c r="B25" s="1"/>
  <c r="B42"/>
  <c r="B44"/>
  <c r="D21"/>
  <c r="C21"/>
  <c r="C17"/>
  <c r="D17"/>
  <c r="D16"/>
  <c r="C16"/>
  <c r="C15"/>
  <c r="D15"/>
  <c r="C13"/>
  <c r="B13"/>
  <c r="D12"/>
  <c r="C12"/>
  <c r="C10"/>
  <c r="D10"/>
  <c r="C76" i="8"/>
  <c r="F76" s="1"/>
  <c r="C97"/>
  <c r="F97" s="1"/>
  <c r="C31"/>
  <c r="C18"/>
  <c r="C25"/>
  <c r="F95"/>
  <c r="C20"/>
  <c r="C14"/>
  <c r="D8" i="7"/>
  <c r="D9"/>
  <c r="D12"/>
  <c r="D16"/>
  <c r="D18"/>
  <c r="J25" i="6"/>
  <c r="J26"/>
  <c r="D13"/>
  <c r="J24"/>
  <c r="F12"/>
  <c r="D170"/>
  <c r="E170"/>
  <c r="D151"/>
  <c r="E151"/>
  <c r="D150"/>
  <c r="E150"/>
  <c r="D149"/>
  <c r="E149"/>
  <c r="D148"/>
  <c r="E148"/>
  <c r="D147"/>
  <c r="E147"/>
  <c r="D146"/>
  <c r="E146"/>
  <c r="D145"/>
  <c r="E145"/>
  <c r="D144"/>
  <c r="E144"/>
  <c r="D143"/>
  <c r="E143"/>
  <c r="D142"/>
  <c r="E142"/>
  <c r="D141"/>
  <c r="E141"/>
  <c r="D140"/>
  <c r="E140"/>
  <c r="D139"/>
  <c r="E139"/>
  <c r="D138"/>
  <c r="E138"/>
  <c r="D137"/>
  <c r="E137"/>
  <c r="D136"/>
  <c r="E136"/>
  <c r="D135"/>
  <c r="E135"/>
  <c r="D134"/>
  <c r="E134"/>
  <c r="D133"/>
  <c r="E133"/>
  <c r="D132"/>
  <c r="E132"/>
  <c r="D131"/>
  <c r="E131"/>
  <c r="D130"/>
  <c r="E130"/>
  <c r="D129"/>
  <c r="E129"/>
  <c r="D128"/>
  <c r="E128"/>
  <c r="D127"/>
  <c r="E127"/>
  <c r="D126"/>
  <c r="E126"/>
  <c r="D125"/>
  <c r="E125"/>
  <c r="D124"/>
  <c r="E124"/>
  <c r="D123"/>
  <c r="E123"/>
  <c r="D122"/>
  <c r="E122"/>
  <c r="D121"/>
  <c r="E121"/>
  <c r="D120"/>
  <c r="E120"/>
  <c r="D119"/>
  <c r="E119"/>
  <c r="D118"/>
  <c r="E118"/>
  <c r="D117"/>
  <c r="E117"/>
  <c r="D116"/>
  <c r="E116"/>
  <c r="D115"/>
  <c r="E115"/>
  <c r="D114"/>
  <c r="E114"/>
  <c r="D113"/>
  <c r="E113"/>
  <c r="D112"/>
  <c r="E112"/>
  <c r="D111"/>
  <c r="E111"/>
  <c r="D110"/>
  <c r="E110"/>
  <c r="D109"/>
  <c r="E109"/>
  <c r="D108"/>
  <c r="E108"/>
  <c r="D107"/>
  <c r="E107"/>
  <c r="D106"/>
  <c r="E106"/>
  <c r="D105"/>
  <c r="E105"/>
  <c r="D104"/>
  <c r="E104"/>
  <c r="D103"/>
  <c r="E103"/>
  <c r="D102"/>
  <c r="E102"/>
  <c r="D101"/>
  <c r="E101"/>
  <c r="D100"/>
  <c r="E100"/>
  <c r="D99"/>
  <c r="E99"/>
  <c r="D98"/>
  <c r="E98"/>
  <c r="D97"/>
  <c r="E97"/>
  <c r="D96"/>
  <c r="E96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7"/>
  <c r="E77"/>
  <c r="D76"/>
  <c r="E76"/>
  <c r="D75"/>
  <c r="E75"/>
  <c r="D74"/>
  <c r="E74"/>
  <c r="D73"/>
  <c r="E73"/>
  <c r="D72"/>
  <c r="E72"/>
  <c r="D71"/>
  <c r="E71"/>
  <c r="C71"/>
  <c r="B71"/>
  <c r="D70"/>
  <c r="E70"/>
  <c r="D69"/>
  <c r="E69"/>
  <c r="C70"/>
  <c r="D68"/>
  <c r="E68"/>
  <c r="D67"/>
  <c r="E67"/>
  <c r="C67"/>
  <c r="B67"/>
  <c r="D66"/>
  <c r="E66"/>
  <c r="D65"/>
  <c r="E65"/>
  <c r="C66"/>
  <c r="D64"/>
  <c r="E64"/>
  <c r="D63"/>
  <c r="E63"/>
  <c r="C63"/>
  <c r="B63"/>
  <c r="D62"/>
  <c r="E62"/>
  <c r="D61"/>
  <c r="E61"/>
  <c r="C62"/>
  <c r="D60"/>
  <c r="E60"/>
  <c r="D59"/>
  <c r="E59"/>
  <c r="C59"/>
  <c r="B59"/>
  <c r="D58"/>
  <c r="E58"/>
  <c r="D57"/>
  <c r="E57"/>
  <c r="C58"/>
  <c r="D56"/>
  <c r="E56"/>
  <c r="D55"/>
  <c r="E55"/>
  <c r="C55"/>
  <c r="B55"/>
  <c r="D54"/>
  <c r="E54"/>
  <c r="D53"/>
  <c r="E53"/>
  <c r="C54"/>
  <c r="D52"/>
  <c r="E52"/>
  <c r="D51"/>
  <c r="E51"/>
  <c r="C51"/>
  <c r="B51"/>
  <c r="D50"/>
  <c r="E50"/>
  <c r="D49"/>
  <c r="E49"/>
  <c r="C50"/>
  <c r="D48"/>
  <c r="E48"/>
  <c r="D47"/>
  <c r="E47"/>
  <c r="C47"/>
  <c r="B47"/>
  <c r="D46"/>
  <c r="E46"/>
  <c r="D45"/>
  <c r="E45"/>
  <c r="C46"/>
  <c r="D44"/>
  <c r="E44"/>
  <c r="D43"/>
  <c r="E43"/>
  <c r="C43"/>
  <c r="B43"/>
  <c r="D42"/>
  <c r="E42"/>
  <c r="D41"/>
  <c r="E41"/>
  <c r="C42"/>
  <c r="D40"/>
  <c r="E40"/>
  <c r="D39"/>
  <c r="E39"/>
  <c r="C39"/>
  <c r="B39"/>
  <c r="D38"/>
  <c r="E38"/>
  <c r="D37"/>
  <c r="E37"/>
  <c r="C38"/>
  <c r="D36"/>
  <c r="E36"/>
  <c r="D35"/>
  <c r="E35"/>
  <c r="C35"/>
  <c r="B35"/>
  <c r="D34"/>
  <c r="E34"/>
  <c r="D33"/>
  <c r="E33"/>
  <c r="C34"/>
  <c r="D32"/>
  <c r="E32"/>
  <c r="D31"/>
  <c r="E31"/>
  <c r="C31"/>
  <c r="D30"/>
  <c r="E30"/>
  <c r="B31"/>
  <c r="D29"/>
  <c r="E29"/>
  <c r="C29"/>
  <c r="D28"/>
  <c r="E28"/>
  <c r="B29"/>
  <c r="D27"/>
  <c r="E27"/>
  <c r="C27"/>
  <c r="D26"/>
  <c r="E26"/>
  <c r="B27"/>
  <c r="D25"/>
  <c r="E25"/>
  <c r="C25"/>
  <c r="D24"/>
  <c r="E24"/>
  <c r="B25"/>
  <c r="D23"/>
  <c r="E23"/>
  <c r="E22"/>
  <c r="J28"/>
  <c r="J27"/>
  <c r="J23"/>
  <c r="F5"/>
  <c r="D38" i="5"/>
  <c r="D40"/>
  <c r="H6"/>
  <c r="G6"/>
  <c r="G19"/>
  <c r="F6"/>
  <c r="E6"/>
  <c r="E19"/>
  <c r="D6"/>
  <c r="C6"/>
  <c r="C19"/>
  <c r="B19"/>
  <c r="B18"/>
  <c r="B17"/>
  <c r="G17"/>
  <c r="E17"/>
  <c r="H7"/>
  <c r="H8"/>
  <c r="H9"/>
  <c r="H11"/>
  <c r="H14"/>
  <c r="H15"/>
  <c r="G7"/>
  <c r="G8"/>
  <c r="G9"/>
  <c r="G11"/>
  <c r="F7"/>
  <c r="F8"/>
  <c r="F9"/>
  <c r="F11"/>
  <c r="F14"/>
  <c r="F15"/>
  <c r="E7"/>
  <c r="E8"/>
  <c r="E9"/>
  <c r="E11"/>
  <c r="E14"/>
  <c r="E15"/>
  <c r="D7"/>
  <c r="D8"/>
  <c r="D9"/>
  <c r="D11"/>
  <c r="D14"/>
  <c r="D15"/>
  <c r="C7"/>
  <c r="C8"/>
  <c r="C9"/>
  <c r="B11"/>
  <c r="B14"/>
  <c r="B15"/>
  <c r="G39" i="4"/>
  <c r="G23"/>
  <c r="G24"/>
  <c r="G26"/>
  <c r="C31"/>
  <c r="G33"/>
  <c r="E39"/>
  <c r="E23"/>
  <c r="E24"/>
  <c r="E26"/>
  <c r="E33"/>
  <c r="E130" i="3"/>
  <c r="E131"/>
  <c r="AA96"/>
  <c r="E132"/>
  <c r="E129"/>
  <c r="E133"/>
  <c r="E134"/>
  <c r="E128"/>
  <c r="Y97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E95"/>
  <c r="S96"/>
  <c r="E96"/>
  <c r="E99"/>
  <c r="E97"/>
  <c r="E98"/>
  <c r="E100"/>
  <c r="E92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N182"/>
  <c r="N172"/>
  <c r="M182"/>
  <c r="L182"/>
  <c r="L172"/>
  <c r="K182"/>
  <c r="E164"/>
  <c r="D171"/>
  <c r="J182"/>
  <c r="J172"/>
  <c r="H182"/>
  <c r="H172"/>
  <c r="G7"/>
  <c r="E167"/>
  <c r="D176"/>
  <c r="E104"/>
  <c r="K116"/>
  <c r="E102"/>
  <c r="F116"/>
  <c r="F174"/>
  <c r="G116"/>
  <c r="G174"/>
  <c r="H116"/>
  <c r="H174"/>
  <c r="H176"/>
  <c r="I116"/>
  <c r="I174"/>
  <c r="J116"/>
  <c r="J174"/>
  <c r="J176"/>
  <c r="K172"/>
  <c r="M172"/>
  <c r="M116"/>
  <c r="M174"/>
  <c r="M176"/>
  <c r="N116"/>
  <c r="N174"/>
  <c r="N176"/>
  <c r="E166"/>
  <c r="E165"/>
  <c r="E137"/>
  <c r="E126"/>
  <c r="D142"/>
  <c r="E127"/>
  <c r="D143"/>
  <c r="D144"/>
  <c r="D152"/>
  <c r="E145"/>
  <c r="E136"/>
  <c r="E138"/>
  <c r="F150"/>
  <c r="G150"/>
  <c r="H145"/>
  <c r="H150"/>
  <c r="I145"/>
  <c r="I146"/>
  <c r="I150"/>
  <c r="J145"/>
  <c r="J146"/>
  <c r="J149"/>
  <c r="J150"/>
  <c r="J152"/>
  <c r="K145"/>
  <c r="K146"/>
  <c r="K152"/>
  <c r="K149"/>
  <c r="K150"/>
  <c r="L145"/>
  <c r="L146"/>
  <c r="L149"/>
  <c r="L150"/>
  <c r="L152"/>
  <c r="M145"/>
  <c r="M146"/>
  <c r="M152"/>
  <c r="M149"/>
  <c r="M150"/>
  <c r="F47"/>
  <c r="N145"/>
  <c r="N146"/>
  <c r="N149"/>
  <c r="F48"/>
  <c r="N150"/>
  <c r="N152"/>
  <c r="AB97"/>
  <c r="E135"/>
  <c r="E103"/>
  <c r="E90"/>
  <c r="D108"/>
  <c r="D118"/>
  <c r="E91"/>
  <c r="D109"/>
  <c r="E94"/>
  <c r="D110"/>
  <c r="E111"/>
  <c r="I111"/>
  <c r="I112"/>
  <c r="J111"/>
  <c r="J118"/>
  <c r="J112"/>
  <c r="J115"/>
  <c r="H44"/>
  <c r="K111"/>
  <c r="K118"/>
  <c r="K112"/>
  <c r="K115"/>
  <c r="H45"/>
  <c r="L111"/>
  <c r="L112"/>
  <c r="L115"/>
  <c r="M111"/>
  <c r="M118"/>
  <c r="M112"/>
  <c r="M115"/>
  <c r="H47"/>
  <c r="N111"/>
  <c r="N118"/>
  <c r="N112"/>
  <c r="N115"/>
  <c r="H48"/>
  <c r="E101"/>
  <c r="F20"/>
  <c r="E93"/>
  <c r="E67"/>
  <c r="E54"/>
  <c r="D72"/>
  <c r="E55"/>
  <c r="E57"/>
  <c r="D73"/>
  <c r="E59"/>
  <c r="E58"/>
  <c r="E61"/>
  <c r="E63"/>
  <c r="E56"/>
  <c r="E62"/>
  <c r="E75"/>
  <c r="E79"/>
  <c r="F75"/>
  <c r="E66"/>
  <c r="F79"/>
  <c r="G75"/>
  <c r="G79"/>
  <c r="H79"/>
  <c r="I74"/>
  <c r="I75"/>
  <c r="I79"/>
  <c r="J74"/>
  <c r="J75"/>
  <c r="J78"/>
  <c r="K74"/>
  <c r="K75"/>
  <c r="K78"/>
  <c r="L74"/>
  <c r="L75"/>
  <c r="L78"/>
  <c r="M74"/>
  <c r="M75"/>
  <c r="M78"/>
  <c r="N74"/>
  <c r="N75"/>
  <c r="N78"/>
  <c r="J48"/>
  <c r="I48"/>
  <c r="G48"/>
  <c r="E48"/>
  <c r="C48"/>
  <c r="J47"/>
  <c r="I47"/>
  <c r="G47"/>
  <c r="E47"/>
  <c r="C47"/>
  <c r="I46"/>
  <c r="G46"/>
  <c r="F46"/>
  <c r="E46"/>
  <c r="C46"/>
  <c r="I45"/>
  <c r="G45"/>
  <c r="F45"/>
  <c r="E45"/>
  <c r="C45"/>
  <c r="J44"/>
  <c r="I44"/>
  <c r="G44"/>
  <c r="F44"/>
  <c r="E44"/>
  <c r="C44"/>
  <c r="J43"/>
  <c r="I43"/>
  <c r="G43"/>
  <c r="E43"/>
  <c r="C43"/>
  <c r="J42"/>
  <c r="I42"/>
  <c r="J41"/>
  <c r="I41"/>
  <c r="J40"/>
  <c r="I40"/>
  <c r="J39"/>
  <c r="I39"/>
  <c r="H39"/>
  <c r="F39"/>
  <c r="J38"/>
  <c r="I38"/>
  <c r="H38"/>
  <c r="G38"/>
  <c r="F38"/>
  <c r="E38"/>
  <c r="D38"/>
  <c r="E20"/>
  <c r="G18"/>
  <c r="D17"/>
  <c r="F68" i="2"/>
  <c r="F70"/>
  <c r="G53"/>
  <c r="G39"/>
  <c r="G36"/>
  <c r="G42"/>
  <c r="G45"/>
  <c r="G54"/>
  <c r="G34"/>
  <c r="G13"/>
  <c r="G18"/>
  <c r="G22"/>
  <c r="C81" i="1"/>
  <c r="I81"/>
  <c r="H81"/>
  <c r="G81"/>
  <c r="F81"/>
  <c r="E81"/>
  <c r="D81"/>
  <c r="B81"/>
  <c r="C80"/>
  <c r="I80"/>
  <c r="H80"/>
  <c r="G80"/>
  <c r="F80"/>
  <c r="E80"/>
  <c r="D80"/>
  <c r="B80"/>
  <c r="C79"/>
  <c r="I79"/>
  <c r="H79"/>
  <c r="G79"/>
  <c r="F79"/>
  <c r="E79"/>
  <c r="D79"/>
  <c r="B79"/>
  <c r="C78"/>
  <c r="I78"/>
  <c r="H78"/>
  <c r="G78"/>
  <c r="F78"/>
  <c r="E78"/>
  <c r="D78"/>
  <c r="B78"/>
  <c r="C77"/>
  <c r="I77"/>
  <c r="H77"/>
  <c r="G77"/>
  <c r="F77"/>
  <c r="E77"/>
  <c r="D77"/>
  <c r="B77"/>
  <c r="C76"/>
  <c r="I76"/>
  <c r="H76"/>
  <c r="G76"/>
  <c r="F76"/>
  <c r="E76"/>
  <c r="D76"/>
  <c r="B76"/>
  <c r="C75"/>
  <c r="I75"/>
  <c r="H75"/>
  <c r="G75"/>
  <c r="F75"/>
  <c r="E75"/>
  <c r="D75"/>
  <c r="B75"/>
  <c r="C74"/>
  <c r="I74"/>
  <c r="H74"/>
  <c r="G74"/>
  <c r="F74"/>
  <c r="E74"/>
  <c r="D74"/>
  <c r="B74"/>
  <c r="C73"/>
  <c r="I73"/>
  <c r="H73"/>
  <c r="G73"/>
  <c r="F73"/>
  <c r="E73"/>
  <c r="D73"/>
  <c r="B73"/>
  <c r="C72"/>
  <c r="I72"/>
  <c r="H72"/>
  <c r="G72"/>
  <c r="F72"/>
  <c r="E72"/>
  <c r="D72"/>
  <c r="B72"/>
  <c r="C71"/>
  <c r="I71"/>
  <c r="H71"/>
  <c r="G71"/>
  <c r="F71"/>
  <c r="E71"/>
  <c r="D71"/>
  <c r="B71"/>
  <c r="C70"/>
  <c r="I70"/>
  <c r="C69"/>
  <c r="C68"/>
  <c r="I68"/>
  <c r="C67"/>
  <c r="C66"/>
  <c r="I66"/>
  <c r="C65"/>
  <c r="C64"/>
  <c r="I64"/>
  <c r="C63"/>
  <c r="C62"/>
  <c r="I62"/>
  <c r="C61"/>
  <c r="C60"/>
  <c r="I60"/>
  <c r="C59"/>
  <c r="C58"/>
  <c r="I58"/>
  <c r="C57"/>
  <c r="C56"/>
  <c r="I56"/>
  <c r="C55"/>
  <c r="C54"/>
  <c r="I54"/>
  <c r="C53"/>
  <c r="C52"/>
  <c r="I52"/>
  <c r="C51"/>
  <c r="C50"/>
  <c r="I50"/>
  <c r="C49"/>
  <c r="C48"/>
  <c r="I48"/>
  <c r="C47"/>
  <c r="C46"/>
  <c r="I46"/>
  <c r="C45"/>
  <c r="C44"/>
  <c r="I44"/>
  <c r="C43"/>
  <c r="C42"/>
  <c r="I42"/>
  <c r="C41"/>
  <c r="C40"/>
  <c r="I40"/>
  <c r="C39"/>
  <c r="C38"/>
  <c r="I38"/>
  <c r="C37"/>
  <c r="C36"/>
  <c r="I36"/>
  <c r="C35"/>
  <c r="C34"/>
  <c r="I34"/>
  <c r="C33"/>
  <c r="C32"/>
  <c r="I32"/>
  <c r="C31"/>
  <c r="C30"/>
  <c r="I30"/>
  <c r="C29"/>
  <c r="C28"/>
  <c r="I28"/>
  <c r="C27"/>
  <c r="C26"/>
  <c r="I26"/>
  <c r="C25"/>
  <c r="C24"/>
  <c r="I24"/>
  <c r="C23"/>
  <c r="H21"/>
  <c r="C22"/>
  <c r="H22"/>
  <c r="I22"/>
  <c r="G1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E22"/>
  <c r="G22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D23"/>
  <c r="G9"/>
  <c r="G56" i="2"/>
  <c r="K174" i="3"/>
  <c r="E60"/>
  <c r="L116"/>
  <c r="L174"/>
  <c r="F182"/>
  <c r="F172"/>
  <c r="F176"/>
  <c r="R97"/>
  <c r="U97"/>
  <c r="Q97"/>
  <c r="T97"/>
  <c r="I182"/>
  <c r="I172"/>
  <c r="I176"/>
  <c r="G182"/>
  <c r="G172"/>
  <c r="G176"/>
  <c r="E182"/>
  <c r="E172"/>
  <c r="E176"/>
  <c r="D19" i="5"/>
  <c r="D18"/>
  <c r="F19"/>
  <c r="F18"/>
  <c r="H19"/>
  <c r="H18"/>
  <c r="C30" i="6"/>
  <c r="C44"/>
  <c r="C48"/>
  <c r="C52"/>
  <c r="C56"/>
  <c r="C60"/>
  <c r="C64"/>
  <c r="C68"/>
  <c r="S97" i="3"/>
  <c r="E28" i="4"/>
  <c r="E31"/>
  <c r="E35"/>
  <c r="E41"/>
  <c r="E43"/>
  <c r="E47"/>
  <c r="E15"/>
  <c r="G28"/>
  <c r="G31"/>
  <c r="G35"/>
  <c r="G41"/>
  <c r="G43"/>
  <c r="G47"/>
  <c r="G15"/>
  <c r="C17" i="5"/>
  <c r="E18"/>
  <c r="G14"/>
  <c r="G15"/>
  <c r="G13"/>
  <c r="F17"/>
  <c r="Z97" i="3"/>
  <c r="AC97"/>
  <c r="E282" i="6"/>
  <c r="D282"/>
  <c r="E280"/>
  <c r="D280"/>
  <c r="E278"/>
  <c r="D278"/>
  <c r="E276"/>
  <c r="D276"/>
  <c r="E274"/>
  <c r="D274"/>
  <c r="E272"/>
  <c r="D272"/>
  <c r="E270"/>
  <c r="D270"/>
  <c r="E268"/>
  <c r="D268"/>
  <c r="E266"/>
  <c r="D266"/>
  <c r="E264"/>
  <c r="D264"/>
  <c r="E281"/>
  <c r="D281"/>
  <c r="E279"/>
  <c r="D279"/>
  <c r="E277"/>
  <c r="D277"/>
  <c r="E275"/>
  <c r="D275"/>
  <c r="E273"/>
  <c r="D273"/>
  <c r="E271"/>
  <c r="D271"/>
  <c r="E269"/>
  <c r="D269"/>
  <c r="E267"/>
  <c r="D267"/>
  <c r="E265"/>
  <c r="D265"/>
  <c r="E263"/>
  <c r="D263"/>
  <c r="D262"/>
  <c r="E262"/>
  <c r="D261"/>
  <c r="E261"/>
  <c r="D260"/>
  <c r="E260"/>
  <c r="C260"/>
  <c r="D259"/>
  <c r="E259"/>
  <c r="D258"/>
  <c r="E258"/>
  <c r="D257"/>
  <c r="E257"/>
  <c r="D256"/>
  <c r="E256"/>
  <c r="D255"/>
  <c r="E255"/>
  <c r="C255"/>
  <c r="D254"/>
  <c r="E254"/>
  <c r="D253"/>
  <c r="E253"/>
  <c r="D252"/>
  <c r="E252"/>
  <c r="C252"/>
  <c r="D251"/>
  <c r="E251"/>
  <c r="D250"/>
  <c r="E250"/>
  <c r="D249"/>
  <c r="E249"/>
  <c r="D248"/>
  <c r="E248"/>
  <c r="D247"/>
  <c r="E247"/>
  <c r="C247"/>
  <c r="D246"/>
  <c r="E246"/>
  <c r="D245"/>
  <c r="E245"/>
  <c r="D244"/>
  <c r="E244"/>
  <c r="C244"/>
  <c r="D243"/>
  <c r="E243"/>
  <c r="D242"/>
  <c r="E242"/>
  <c r="D241"/>
  <c r="E241"/>
  <c r="D240"/>
  <c r="E240"/>
  <c r="D239"/>
  <c r="E239"/>
  <c r="C239"/>
  <c r="D238"/>
  <c r="E238"/>
  <c r="D237"/>
  <c r="E237"/>
  <c r="D236"/>
  <c r="E236"/>
  <c r="C236"/>
  <c r="D235"/>
  <c r="E235"/>
  <c r="D234"/>
  <c r="E234"/>
  <c r="D233"/>
  <c r="E233"/>
  <c r="D232"/>
  <c r="E232"/>
  <c r="D231"/>
  <c r="E231"/>
  <c r="C231"/>
  <c r="D230"/>
  <c r="E230"/>
  <c r="D229"/>
  <c r="E229"/>
  <c r="D228"/>
  <c r="E228"/>
  <c r="C228"/>
  <c r="D227"/>
  <c r="E227"/>
  <c r="D226"/>
  <c r="E226"/>
  <c r="D225"/>
  <c r="E225"/>
  <c r="D224"/>
  <c r="E224"/>
  <c r="D223"/>
  <c r="E223"/>
  <c r="D222"/>
  <c r="E222"/>
  <c r="D221"/>
  <c r="E221"/>
  <c r="D220"/>
  <c r="E220"/>
  <c r="C220"/>
  <c r="D219"/>
  <c r="E219"/>
  <c r="C219"/>
  <c r="D218"/>
  <c r="E218"/>
  <c r="D217"/>
  <c r="E217"/>
  <c r="D216"/>
  <c r="E216"/>
  <c r="D215"/>
  <c r="E215"/>
  <c r="D214"/>
  <c r="E214"/>
  <c r="D213"/>
  <c r="E213"/>
  <c r="D212"/>
  <c r="E212"/>
  <c r="C212"/>
  <c r="D211"/>
  <c r="D210"/>
  <c r="D209"/>
  <c r="E209"/>
  <c r="C209"/>
  <c r="B209"/>
  <c r="D208"/>
  <c r="E208"/>
  <c r="C208"/>
  <c r="B208"/>
  <c r="D207"/>
  <c r="E207"/>
  <c r="D206"/>
  <c r="E206"/>
  <c r="C206"/>
  <c r="B206"/>
  <c r="D205"/>
  <c r="E205"/>
  <c r="C205"/>
  <c r="B205"/>
  <c r="D204"/>
  <c r="E204"/>
  <c r="C204"/>
  <c r="B204"/>
  <c r="D203"/>
  <c r="E203"/>
  <c r="D202"/>
  <c r="E202"/>
  <c r="C202"/>
  <c r="B202"/>
  <c r="D201"/>
  <c r="E201"/>
  <c r="D200"/>
  <c r="E200"/>
  <c r="C200"/>
  <c r="B200"/>
  <c r="D199"/>
  <c r="E199"/>
  <c r="D198"/>
  <c r="E198"/>
  <c r="C198"/>
  <c r="B198"/>
  <c r="D197"/>
  <c r="E197"/>
  <c r="D196"/>
  <c r="E196"/>
  <c r="C196"/>
  <c r="B196"/>
  <c r="D195"/>
  <c r="E195"/>
  <c r="D194"/>
  <c r="E194"/>
  <c r="C194"/>
  <c r="B194"/>
  <c r="D193"/>
  <c r="E193"/>
  <c r="D192"/>
  <c r="E192"/>
  <c r="C192"/>
  <c r="B192"/>
  <c r="D191"/>
  <c r="E191"/>
  <c r="D190"/>
  <c r="E190"/>
  <c r="C190"/>
  <c r="B190"/>
  <c r="D189"/>
  <c r="E189"/>
  <c r="D188"/>
  <c r="E188"/>
  <c r="C188"/>
  <c r="B188"/>
  <c r="D187"/>
  <c r="E187"/>
  <c r="D186"/>
  <c r="E186"/>
  <c r="C186"/>
  <c r="B186"/>
  <c r="D185"/>
  <c r="E185"/>
  <c r="D184"/>
  <c r="E184"/>
  <c r="D183"/>
  <c r="E183"/>
  <c r="D182"/>
  <c r="E182"/>
  <c r="D181"/>
  <c r="E181"/>
  <c r="D180"/>
  <c r="E180"/>
  <c r="D179"/>
  <c r="E179"/>
  <c r="D178"/>
  <c r="E178"/>
  <c r="D177"/>
  <c r="E177"/>
  <c r="D176"/>
  <c r="E176"/>
  <c r="D175"/>
  <c r="E175"/>
  <c r="D174"/>
  <c r="E174"/>
  <c r="D173"/>
  <c r="E173"/>
  <c r="D172"/>
  <c r="E172"/>
  <c r="D171"/>
  <c r="E171"/>
  <c r="C171"/>
  <c r="C31" i="9"/>
  <c r="C43"/>
  <c r="D22"/>
  <c r="D25"/>
  <c r="D43"/>
  <c r="D13"/>
  <c r="E210" i="6"/>
  <c r="E211"/>
  <c r="D14" i="7"/>
  <c r="C225" i="6"/>
  <c r="C216"/>
  <c r="C224"/>
  <c r="C232"/>
  <c r="C240"/>
  <c r="C248"/>
  <c r="C256"/>
  <c r="C221"/>
  <c r="C235"/>
  <c r="C243"/>
  <c r="C251"/>
  <c r="C259"/>
  <c r="C172"/>
  <c r="C175"/>
  <c r="C179"/>
  <c r="C183"/>
  <c r="C187"/>
  <c r="C191"/>
  <c r="C195"/>
  <c r="C199"/>
  <c r="C203"/>
  <c r="B203"/>
  <c r="C207"/>
  <c r="B207"/>
  <c r="B264"/>
  <c r="F264"/>
  <c r="C264"/>
  <c r="B266"/>
  <c r="F266"/>
  <c r="C266"/>
  <c r="B268"/>
  <c r="F268"/>
  <c r="C268"/>
  <c r="B270"/>
  <c r="F270"/>
  <c r="C270"/>
  <c r="B272"/>
  <c r="F272"/>
  <c r="C272"/>
  <c r="B274"/>
  <c r="F274"/>
  <c r="C274"/>
  <c r="B276"/>
  <c r="F276"/>
  <c r="C276"/>
  <c r="B278"/>
  <c r="F278"/>
  <c r="C278"/>
  <c r="B280"/>
  <c r="F280"/>
  <c r="C280"/>
  <c r="B282"/>
  <c r="F282"/>
  <c r="C282"/>
  <c r="H75" i="3"/>
  <c r="J79"/>
  <c r="L79"/>
  <c r="N79"/>
  <c r="K79"/>
  <c r="M79"/>
  <c r="F23" i="1"/>
  <c r="E23"/>
  <c r="D31" i="9"/>
  <c r="O116" i="3"/>
  <c r="H46"/>
  <c r="C174" i="6"/>
  <c r="F263"/>
  <c r="C263"/>
  <c r="B263"/>
  <c r="F265"/>
  <c r="C265"/>
  <c r="B265"/>
  <c r="F267"/>
  <c r="C267"/>
  <c r="B267"/>
  <c r="F269"/>
  <c r="C269"/>
  <c r="B269"/>
  <c r="F271"/>
  <c r="C271"/>
  <c r="B271"/>
  <c r="F273"/>
  <c r="C273"/>
  <c r="B273"/>
  <c r="F275"/>
  <c r="C275"/>
  <c r="B275"/>
  <c r="F277"/>
  <c r="C277"/>
  <c r="B277"/>
  <c r="F279"/>
  <c r="C279"/>
  <c r="B279"/>
  <c r="F281"/>
  <c r="C281"/>
  <c r="B281"/>
  <c r="Q98" i="3"/>
  <c r="R98"/>
  <c r="S98"/>
  <c r="T98"/>
  <c r="L176"/>
  <c r="J46"/>
  <c r="K176"/>
  <c r="E179"/>
  <c r="G22"/>
  <c r="J45"/>
  <c r="AA97"/>
  <c r="E64"/>
  <c r="L118"/>
  <c r="Q99"/>
  <c r="R99"/>
  <c r="S99"/>
  <c r="Y98"/>
  <c r="AA98"/>
  <c r="Z98"/>
  <c r="AC98"/>
  <c r="AB98"/>
  <c r="K82"/>
  <c r="D45"/>
  <c r="D46"/>
  <c r="L82"/>
  <c r="D74"/>
  <c r="E65"/>
  <c r="H23" i="1"/>
  <c r="G23"/>
  <c r="M82" i="3"/>
  <c r="D47"/>
  <c r="D48"/>
  <c r="N82"/>
  <c r="D44"/>
  <c r="J82"/>
  <c r="U98"/>
  <c r="U99"/>
  <c r="Q100"/>
  <c r="S100"/>
  <c r="R100"/>
  <c r="U100"/>
  <c r="D24" i="1"/>
  <c r="C38" i="3"/>
  <c r="E78"/>
  <c r="D39"/>
  <c r="D82"/>
  <c r="Y99"/>
  <c r="Z99"/>
  <c r="AB99"/>
  <c r="F74"/>
  <c r="G74"/>
  <c r="G78"/>
  <c r="D41"/>
  <c r="I78"/>
  <c r="E74"/>
  <c r="F78"/>
  <c r="D40"/>
  <c r="H74"/>
  <c r="H78"/>
  <c r="D42"/>
  <c r="D20"/>
  <c r="T99"/>
  <c r="T100"/>
  <c r="AC99"/>
  <c r="AA99"/>
  <c r="C42"/>
  <c r="H82"/>
  <c r="C39"/>
  <c r="E82"/>
  <c r="C40"/>
  <c r="F82"/>
  <c r="Q101"/>
  <c r="R101"/>
  <c r="I82"/>
  <c r="D43"/>
  <c r="G82"/>
  <c r="C41"/>
  <c r="E24" i="1"/>
  <c r="F24"/>
  <c r="E85" i="3"/>
  <c r="D22"/>
  <c r="S101"/>
  <c r="U101"/>
  <c r="G24" i="1"/>
  <c r="H24"/>
  <c r="Y100" i="3"/>
  <c r="AA100"/>
  <c r="Z100"/>
  <c r="AC100"/>
  <c r="AB100"/>
  <c r="T101"/>
  <c r="Y101"/>
  <c r="Z101"/>
  <c r="D25" i="1"/>
  <c r="Q102" i="3"/>
  <c r="R102"/>
  <c r="S102"/>
  <c r="T102"/>
  <c r="Q103"/>
  <c r="R103"/>
  <c r="S103"/>
  <c r="AA101"/>
  <c r="AC101"/>
  <c r="E25" i="1"/>
  <c r="F25"/>
  <c r="U102" i="3"/>
  <c r="U103"/>
  <c r="AB101"/>
  <c r="Q104"/>
  <c r="S104"/>
  <c r="R104"/>
  <c r="U104"/>
  <c r="G25" i="1"/>
  <c r="H25"/>
  <c r="Y102" i="3"/>
  <c r="Z102"/>
  <c r="AA102"/>
  <c r="AB102"/>
  <c r="T103"/>
  <c r="T104"/>
  <c r="Y103"/>
  <c r="Z103"/>
  <c r="AA103"/>
  <c r="AB103"/>
  <c r="R105"/>
  <c r="U105"/>
  <c r="Q105"/>
  <c r="S105"/>
  <c r="T105"/>
  <c r="D26" i="1"/>
  <c r="AC102" i="3"/>
  <c r="AC103"/>
  <c r="Y104"/>
  <c r="AA104"/>
  <c r="Z104"/>
  <c r="AC104"/>
  <c r="AB104"/>
  <c r="E26" i="1"/>
  <c r="F26"/>
  <c r="Q106" i="3"/>
  <c r="R106"/>
  <c r="S106"/>
  <c r="T106"/>
  <c r="Q107"/>
  <c r="R107"/>
  <c r="H26" i="1"/>
  <c r="G26"/>
  <c r="Z105" i="3"/>
  <c r="AC105"/>
  <c r="Y105"/>
  <c r="AA105"/>
  <c r="AB105"/>
  <c r="U106"/>
  <c r="S107"/>
  <c r="U107"/>
  <c r="Y106"/>
  <c r="AA106"/>
  <c r="Z106"/>
  <c r="AC106"/>
  <c r="AB106"/>
  <c r="D27" i="1"/>
  <c r="T107" i="3"/>
  <c r="Y107"/>
  <c r="Z107"/>
  <c r="AB107"/>
  <c r="E27" i="1"/>
  <c r="F27"/>
  <c r="Q108" i="3"/>
  <c r="R108"/>
  <c r="S108"/>
  <c r="T108"/>
  <c r="Q109"/>
  <c r="R109"/>
  <c r="S109"/>
  <c r="AC107"/>
  <c r="AA107"/>
  <c r="H27" i="1"/>
  <c r="G27"/>
  <c r="U108" i="3"/>
  <c r="E112"/>
  <c r="Q110"/>
  <c r="S110"/>
  <c r="R110"/>
  <c r="E118"/>
  <c r="F115"/>
  <c r="H40"/>
  <c r="G39"/>
  <c r="D28" i="1"/>
  <c r="Y108" i="3"/>
  <c r="AA108"/>
  <c r="Z108"/>
  <c r="AC108"/>
  <c r="E146"/>
  <c r="AB108"/>
  <c r="U109"/>
  <c r="U110"/>
  <c r="T109"/>
  <c r="T110"/>
  <c r="E152"/>
  <c r="F149"/>
  <c r="F40"/>
  <c r="E39"/>
  <c r="Z109"/>
  <c r="Y109"/>
  <c r="AA109"/>
  <c r="AB109"/>
  <c r="AC109"/>
  <c r="E28" i="1"/>
  <c r="F28"/>
  <c r="Q111" i="3"/>
  <c r="R111"/>
  <c r="S111"/>
  <c r="U111"/>
  <c r="Y110"/>
  <c r="AA110"/>
  <c r="Z110"/>
  <c r="AC110"/>
  <c r="AB110"/>
  <c r="H28" i="1"/>
  <c r="G28"/>
  <c r="T111" i="3"/>
  <c r="D29" i="1"/>
  <c r="Y111" i="3"/>
  <c r="Z111"/>
  <c r="AB111"/>
  <c r="Q112"/>
  <c r="R112"/>
  <c r="S112"/>
  <c r="T112"/>
  <c r="AA111"/>
  <c r="AC111"/>
  <c r="Q113"/>
  <c r="R113"/>
  <c r="S113"/>
  <c r="E29" i="1"/>
  <c r="F29"/>
  <c r="U112" i="3"/>
  <c r="U113"/>
  <c r="Q114"/>
  <c r="S114"/>
  <c r="R114"/>
  <c r="U114"/>
  <c r="H29" i="1"/>
  <c r="G29"/>
  <c r="Y112" i="3"/>
  <c r="Z112"/>
  <c r="AA112"/>
  <c r="AB112"/>
  <c r="T113"/>
  <c r="T114"/>
  <c r="Y113"/>
  <c r="Z113"/>
  <c r="AA113"/>
  <c r="AB113"/>
  <c r="D30" i="1"/>
  <c r="R115" i="3"/>
  <c r="U115"/>
  <c r="Q115"/>
  <c r="S115"/>
  <c r="T115"/>
  <c r="AC112"/>
  <c r="AC113"/>
  <c r="Y114"/>
  <c r="AA114"/>
  <c r="Z114"/>
  <c r="AC114"/>
  <c r="AB114"/>
  <c r="Q116"/>
  <c r="R116"/>
  <c r="S116"/>
  <c r="T116"/>
  <c r="E30" i="1"/>
  <c r="F30"/>
  <c r="Q117" i="3"/>
  <c r="R117"/>
  <c r="S117"/>
  <c r="Y115"/>
  <c r="Z115"/>
  <c r="AB115"/>
  <c r="H30" i="1"/>
  <c r="G30"/>
  <c r="U116" i="3"/>
  <c r="U117"/>
  <c r="AA115"/>
  <c r="AC115"/>
  <c r="Q118"/>
  <c r="S118"/>
  <c r="R118"/>
  <c r="U118"/>
  <c r="D31" i="1"/>
  <c r="T117" i="3"/>
  <c r="T118"/>
  <c r="Q119"/>
  <c r="R119"/>
  <c r="E31" i="1"/>
  <c r="F31"/>
  <c r="Y116" i="3"/>
  <c r="Z116"/>
  <c r="AA116"/>
  <c r="AB116"/>
  <c r="Y117"/>
  <c r="Z117"/>
  <c r="AA117"/>
  <c r="AB117"/>
  <c r="S119"/>
  <c r="U119"/>
  <c r="H31" i="1"/>
  <c r="G31"/>
  <c r="AC116" i="3"/>
  <c r="AC117"/>
  <c r="T119"/>
  <c r="Y118"/>
  <c r="AA118"/>
  <c r="Z118"/>
  <c r="AC118"/>
  <c r="AB118"/>
  <c r="D32" i="1"/>
  <c r="Q120" i="3"/>
  <c r="R120"/>
  <c r="S120"/>
  <c r="T120"/>
  <c r="Q121"/>
  <c r="R121"/>
  <c r="Y119"/>
  <c r="Z119"/>
  <c r="AB119"/>
  <c r="E32" i="1"/>
  <c r="F32"/>
  <c r="U120" i="3"/>
  <c r="AA119"/>
  <c r="AC119"/>
  <c r="S121"/>
  <c r="U121"/>
  <c r="V120"/>
  <c r="F111"/>
  <c r="F112"/>
  <c r="G115"/>
  <c r="H41"/>
  <c r="G32" i="1"/>
  <c r="H32"/>
  <c r="T121" i="3"/>
  <c r="D33" i="1"/>
  <c r="G40" i="3"/>
  <c r="F118"/>
  <c r="Q122"/>
  <c r="S122"/>
  <c r="R122"/>
  <c r="U122"/>
  <c r="T122"/>
  <c r="Y120"/>
  <c r="Z120"/>
  <c r="AA120"/>
  <c r="AB120"/>
  <c r="Y121"/>
  <c r="Z121"/>
  <c r="AA121"/>
  <c r="R123"/>
  <c r="U123"/>
  <c r="Q123"/>
  <c r="S123"/>
  <c r="T123"/>
  <c r="E33" i="1"/>
  <c r="F33"/>
  <c r="AC120" i="3"/>
  <c r="Y122"/>
  <c r="AA122"/>
  <c r="Z122"/>
  <c r="F146"/>
  <c r="G149"/>
  <c r="F41"/>
  <c r="AD120"/>
  <c r="Q124"/>
  <c r="R124"/>
  <c r="S124"/>
  <c r="T124"/>
  <c r="H33" i="1"/>
  <c r="G33"/>
  <c r="AC121" i="3"/>
  <c r="AC122"/>
  <c r="AB121"/>
  <c r="AB122"/>
  <c r="Q125"/>
  <c r="R125"/>
  <c r="S125"/>
  <c r="Y123"/>
  <c r="Z123"/>
  <c r="AB123"/>
  <c r="D34" i="1"/>
  <c r="F145" i="3"/>
  <c r="G145"/>
  <c r="U124"/>
  <c r="U125"/>
  <c r="AA123"/>
  <c r="AC123"/>
  <c r="Q126"/>
  <c r="S126"/>
  <c r="R126"/>
  <c r="U126"/>
  <c r="E34" i="1"/>
  <c r="F34"/>
  <c r="F152" i="3"/>
  <c r="E40"/>
  <c r="T125"/>
  <c r="T126"/>
  <c r="H34" i="1"/>
  <c r="G34"/>
  <c r="Q127" i="3"/>
  <c r="R127"/>
  <c r="Y124"/>
  <c r="Z124"/>
  <c r="AA124"/>
  <c r="AB124"/>
  <c r="Y125"/>
  <c r="Z125"/>
  <c r="S127"/>
  <c r="U127"/>
  <c r="D35" i="1"/>
  <c r="AC124" i="3"/>
  <c r="T127"/>
  <c r="AA125"/>
  <c r="AC125"/>
  <c r="Q128"/>
  <c r="R128"/>
  <c r="T128"/>
  <c r="E35" i="1"/>
  <c r="F35"/>
  <c r="AB125" i="3"/>
  <c r="S128"/>
  <c r="U128"/>
  <c r="H35" i="1"/>
  <c r="G35"/>
  <c r="Y126" i="3"/>
  <c r="AA126"/>
  <c r="Z126"/>
  <c r="AC126"/>
  <c r="AB126"/>
  <c r="Y127"/>
  <c r="Z127"/>
  <c r="AB127"/>
  <c r="D36" i="1"/>
  <c r="Q129" i="3"/>
  <c r="T129"/>
  <c r="R129"/>
  <c r="S129"/>
  <c r="Q130"/>
  <c r="R130"/>
  <c r="S130"/>
  <c r="AA127"/>
  <c r="AC127"/>
  <c r="E36" i="1"/>
  <c r="F36"/>
  <c r="U129" i="3"/>
  <c r="U130"/>
  <c r="Q131"/>
  <c r="S131"/>
  <c r="R131"/>
  <c r="U131"/>
  <c r="G36" i="1"/>
  <c r="H36"/>
  <c r="Y128" i="3"/>
  <c r="Z128"/>
  <c r="AA128"/>
  <c r="AB128"/>
  <c r="T130"/>
  <c r="T131"/>
  <c r="Y129"/>
  <c r="Z129"/>
  <c r="AA129"/>
  <c r="Q132"/>
  <c r="R132"/>
  <c r="T132"/>
  <c r="D37" i="1"/>
  <c r="AC128" i="3"/>
  <c r="AC129"/>
  <c r="S132"/>
  <c r="U132"/>
  <c r="Y130"/>
  <c r="AA130"/>
  <c r="Z130"/>
  <c r="AC130"/>
  <c r="E37" i="1"/>
  <c r="F37"/>
  <c r="AB129" i="3"/>
  <c r="AB130"/>
  <c r="H37" i="1"/>
  <c r="G37"/>
  <c r="Y131" i="3"/>
  <c r="Z131"/>
  <c r="AB131"/>
  <c r="V132"/>
  <c r="G112"/>
  <c r="H115"/>
  <c r="H42"/>
  <c r="Q133"/>
  <c r="T133"/>
  <c r="R133"/>
  <c r="S133"/>
  <c r="Q134"/>
  <c r="R134"/>
  <c r="S134"/>
  <c r="AA131"/>
  <c r="AC131"/>
  <c r="G111"/>
  <c r="H111"/>
  <c r="D38" i="1"/>
  <c r="U133" i="3"/>
  <c r="U134"/>
  <c r="Q135"/>
  <c r="S135"/>
  <c r="R135"/>
  <c r="U135"/>
  <c r="G41"/>
  <c r="G118"/>
  <c r="Y132"/>
  <c r="Z132"/>
  <c r="AA132"/>
  <c r="AB132"/>
  <c r="E38" i="1"/>
  <c r="F38"/>
  <c r="T134" i="3"/>
  <c r="T135"/>
  <c r="Y133"/>
  <c r="Z133"/>
  <c r="AA133"/>
  <c r="AB133"/>
  <c r="Q136"/>
  <c r="R136"/>
  <c r="T136"/>
  <c r="G38" i="1"/>
  <c r="H38"/>
  <c r="AC132" i="3"/>
  <c r="G146"/>
  <c r="S136"/>
  <c r="U136"/>
  <c r="Y134"/>
  <c r="AA134"/>
  <c r="Z134"/>
  <c r="AB134"/>
  <c r="H149"/>
  <c r="F42"/>
  <c r="G152"/>
  <c r="E41"/>
  <c r="D39" i="1"/>
  <c r="AC133" i="3"/>
  <c r="AC134"/>
  <c r="E39" i="1"/>
  <c r="F39"/>
  <c r="Y135" i="3"/>
  <c r="Z135"/>
  <c r="AB135"/>
  <c r="Q137"/>
  <c r="T137"/>
  <c r="R137"/>
  <c r="S137"/>
  <c r="Q138"/>
  <c r="R138"/>
  <c r="S138"/>
  <c r="AC135"/>
  <c r="AA135"/>
  <c r="H39" i="1"/>
  <c r="G39"/>
  <c r="U137" i="3"/>
  <c r="U138"/>
  <c r="Q139"/>
  <c r="S139"/>
  <c r="R139"/>
  <c r="U139"/>
  <c r="D40" i="1"/>
  <c r="Y136" i="3"/>
  <c r="Z136"/>
  <c r="AA136"/>
  <c r="AB136"/>
  <c r="T138"/>
  <c r="T139"/>
  <c r="Y137"/>
  <c r="Z137"/>
  <c r="AA137"/>
  <c r="AB137"/>
  <c r="Q140"/>
  <c r="R140"/>
  <c r="T140"/>
  <c r="E40" i="1"/>
  <c r="F40"/>
  <c r="AC136" i="3"/>
  <c r="AC137"/>
  <c r="S140"/>
  <c r="U140"/>
  <c r="Y138"/>
  <c r="AA138"/>
  <c r="Z138"/>
  <c r="AC138"/>
  <c r="AB138"/>
  <c r="G40" i="1"/>
  <c r="H40"/>
  <c r="Y139" i="3"/>
  <c r="Z139"/>
  <c r="AB139"/>
  <c r="D41" i="1"/>
  <c r="Q141" i="3"/>
  <c r="T141"/>
  <c r="R141"/>
  <c r="S141"/>
  <c r="Q142"/>
  <c r="R142"/>
  <c r="S142"/>
  <c r="AC139"/>
  <c r="AA139"/>
  <c r="E41" i="1"/>
  <c r="F41"/>
  <c r="U141" i="3"/>
  <c r="U142"/>
  <c r="Q143"/>
  <c r="S143"/>
  <c r="R143"/>
  <c r="U143"/>
  <c r="G41" i="1"/>
  <c r="H41"/>
  <c r="Y140" i="3"/>
  <c r="Z140"/>
  <c r="AA140"/>
  <c r="AB140"/>
  <c r="T142"/>
  <c r="T143"/>
  <c r="Y141"/>
  <c r="Z141"/>
  <c r="AA141"/>
  <c r="AB141"/>
  <c r="Q144"/>
  <c r="R144"/>
  <c r="T144"/>
  <c r="D42" i="1"/>
  <c r="AC140" i="3"/>
  <c r="AC141"/>
  <c r="S144"/>
  <c r="U144"/>
  <c r="H112"/>
  <c r="Y142"/>
  <c r="AA142"/>
  <c r="Z142"/>
  <c r="AC142"/>
  <c r="AB142"/>
  <c r="E42" i="1"/>
  <c r="F42"/>
  <c r="H42"/>
  <c r="G42"/>
  <c r="Y143" i="3"/>
  <c r="Z143"/>
  <c r="AB143"/>
  <c r="I115"/>
  <c r="G42"/>
  <c r="H118"/>
  <c r="R145"/>
  <c r="T145"/>
  <c r="S145"/>
  <c r="U145"/>
  <c r="Q145"/>
  <c r="AC143"/>
  <c r="AA143"/>
  <c r="H43"/>
  <c r="I118"/>
  <c r="E121"/>
  <c r="F22"/>
  <c r="R146"/>
  <c r="S146"/>
  <c r="T146"/>
  <c r="U146"/>
  <c r="Q146"/>
  <c r="D43" i="1"/>
  <c r="R147" i="3"/>
  <c r="T147"/>
  <c r="S147"/>
  <c r="U147"/>
  <c r="Q147"/>
  <c r="Y144"/>
  <c r="Z144"/>
  <c r="AA144"/>
  <c r="AB144"/>
  <c r="E43" i="1"/>
  <c r="F43"/>
  <c r="Z145" i="3"/>
  <c r="AA145"/>
  <c r="AC145"/>
  <c r="Y145"/>
  <c r="AB145"/>
  <c r="H43" i="1"/>
  <c r="G43"/>
  <c r="R148" i="3"/>
  <c r="S148"/>
  <c r="T148"/>
  <c r="U148"/>
  <c r="Q148"/>
  <c r="AC144"/>
  <c r="H146"/>
  <c r="R149"/>
  <c r="T149"/>
  <c r="S149"/>
  <c r="U149"/>
  <c r="Q149"/>
  <c r="AA146"/>
  <c r="Z146"/>
  <c r="AC146"/>
  <c r="Y146"/>
  <c r="AB146"/>
  <c r="H152"/>
  <c r="E42"/>
  <c r="I149"/>
  <c r="D44" i="1"/>
  <c r="Z147" i="3"/>
  <c r="AA147"/>
  <c r="AC147"/>
  <c r="Y147"/>
  <c r="AB147"/>
  <c r="E44" i="1"/>
  <c r="F44"/>
  <c r="F43" i="3"/>
  <c r="I152"/>
  <c r="E155"/>
  <c r="E22"/>
  <c r="R150"/>
  <c r="S150"/>
  <c r="T150"/>
  <c r="U150"/>
  <c r="Q150"/>
  <c r="R151"/>
  <c r="T151"/>
  <c r="S151"/>
  <c r="U151"/>
  <c r="Q151"/>
  <c r="AA148"/>
  <c r="Z148"/>
  <c r="AC148"/>
  <c r="Y148"/>
  <c r="AB148"/>
  <c r="H44" i="1"/>
  <c r="G44"/>
  <c r="Z149" i="3"/>
  <c r="AA149"/>
  <c r="AC149"/>
  <c r="Y149"/>
  <c r="AB149"/>
  <c r="D45" i="1"/>
  <c r="R152" i="3"/>
  <c r="S152"/>
  <c r="T152"/>
  <c r="U152"/>
  <c r="Q152"/>
  <c r="R153"/>
  <c r="T153"/>
  <c r="S153"/>
  <c r="U153"/>
  <c r="Q153"/>
  <c r="AA150"/>
  <c r="Z150"/>
  <c r="AC150"/>
  <c r="Y150"/>
  <c r="AB150"/>
  <c r="E45" i="1"/>
  <c r="F45"/>
  <c r="Z151" i="3"/>
  <c r="AA151"/>
  <c r="AC151"/>
  <c r="Y151"/>
  <c r="AB151"/>
  <c r="G45" i="1"/>
  <c r="H45"/>
  <c r="R154" i="3"/>
  <c r="S154"/>
  <c r="T154"/>
  <c r="U154"/>
  <c r="Q154"/>
  <c r="R155"/>
  <c r="U155"/>
  <c r="Q155"/>
  <c r="S155"/>
  <c r="T155"/>
  <c r="AA152"/>
  <c r="Z152"/>
  <c r="AC152"/>
  <c r="Y152"/>
  <c r="AB152"/>
  <c r="D46" i="1"/>
  <c r="E46"/>
  <c r="F46"/>
  <c r="Z153" i="3"/>
  <c r="AA153"/>
  <c r="AC153"/>
  <c r="Y153"/>
  <c r="AB153"/>
  <c r="R156"/>
  <c r="S156"/>
  <c r="U156"/>
  <c r="Q156"/>
  <c r="T156"/>
  <c r="R157"/>
  <c r="U157"/>
  <c r="Q157"/>
  <c r="S157"/>
  <c r="T157"/>
  <c r="AA154"/>
  <c r="Z154"/>
  <c r="AC154"/>
  <c r="Y154"/>
  <c r="AB154"/>
  <c r="H46" i="1"/>
  <c r="G46"/>
  <c r="Z155" i="3"/>
  <c r="AA155"/>
  <c r="AB155"/>
  <c r="Y155"/>
  <c r="AC155"/>
  <c r="R158"/>
  <c r="S158"/>
  <c r="U158"/>
  <c r="Q158"/>
  <c r="T158"/>
  <c r="D47" i="1"/>
  <c r="R159" i="3"/>
  <c r="U159"/>
  <c r="Q159"/>
  <c r="S159"/>
  <c r="T159"/>
  <c r="AA156"/>
  <c r="Z156"/>
  <c r="AB156"/>
  <c r="AC156"/>
  <c r="Y156"/>
  <c r="E47" i="1"/>
  <c r="F47"/>
  <c r="Z157" i="3"/>
  <c r="AA157"/>
  <c r="AB157"/>
  <c r="Y157"/>
  <c r="AC157"/>
  <c r="R160"/>
  <c r="S160"/>
  <c r="U160"/>
  <c r="Q160"/>
  <c r="T160"/>
  <c r="H47" i="1"/>
  <c r="G47"/>
  <c r="R161" i="3"/>
  <c r="U161"/>
  <c r="Q161"/>
  <c r="S161"/>
  <c r="T161"/>
  <c r="AA158"/>
  <c r="Z158"/>
  <c r="AB158"/>
  <c r="AC158"/>
  <c r="Y158"/>
  <c r="D48" i="1"/>
  <c r="E48"/>
  <c r="F48"/>
  <c r="Z159" i="3"/>
  <c r="AA159"/>
  <c r="AB159"/>
  <c r="Y159"/>
  <c r="AC159"/>
  <c r="R162"/>
  <c r="S162"/>
  <c r="U162"/>
  <c r="Q162"/>
  <c r="T162"/>
  <c r="R163"/>
  <c r="U163"/>
  <c r="Q163"/>
  <c r="S163"/>
  <c r="T163"/>
  <c r="AA160"/>
  <c r="Z160"/>
  <c r="AB160"/>
  <c r="AC160"/>
  <c r="Y160"/>
  <c r="H48" i="1"/>
  <c r="G48"/>
  <c r="Z161" i="3"/>
  <c r="AA161"/>
  <c r="AB161"/>
  <c r="Y161"/>
  <c r="AC161"/>
  <c r="R164"/>
  <c r="S164"/>
  <c r="U164"/>
  <c r="Q164"/>
  <c r="T164"/>
  <c r="D49" i="1"/>
  <c r="R165" i="3"/>
  <c r="T165"/>
  <c r="Q165"/>
  <c r="S165"/>
  <c r="U165"/>
  <c r="AA162"/>
  <c r="Z162"/>
  <c r="AB162"/>
  <c r="AC162"/>
  <c r="Y162"/>
  <c r="E49" i="1"/>
  <c r="F49"/>
  <c r="Z163" i="3"/>
  <c r="AA163"/>
  <c r="AB163"/>
  <c r="Y163"/>
  <c r="AC163"/>
  <c r="R166"/>
  <c r="S166"/>
  <c r="U166"/>
  <c r="Q166"/>
  <c r="T166"/>
  <c r="H49" i="1"/>
  <c r="G49"/>
  <c r="R167" i="3"/>
  <c r="U167"/>
  <c r="Q167"/>
  <c r="S167"/>
  <c r="T167"/>
  <c r="AA164"/>
  <c r="Z164"/>
  <c r="AB164"/>
  <c r="AC164"/>
  <c r="Y164"/>
  <c r="D50" i="1"/>
  <c r="E50"/>
  <c r="F50"/>
  <c r="Z165" i="3"/>
  <c r="AA165"/>
  <c r="AC165"/>
  <c r="Y165"/>
  <c r="AB165"/>
  <c r="R168"/>
  <c r="S168"/>
  <c r="U168"/>
  <c r="Q168"/>
  <c r="T168"/>
  <c r="R169"/>
  <c r="U169"/>
  <c r="Q169"/>
  <c r="S169"/>
  <c r="T169"/>
  <c r="AA166"/>
  <c r="Z166"/>
  <c r="AB166"/>
  <c r="AC166"/>
  <c r="Y166"/>
  <c r="H50" i="1"/>
  <c r="G50"/>
  <c r="Z167" i="3"/>
  <c r="AA167"/>
  <c r="AB167"/>
  <c r="Y167"/>
  <c r="AC167"/>
  <c r="R170"/>
  <c r="S170"/>
  <c r="U170"/>
  <c r="Q170"/>
  <c r="T170"/>
  <c r="D51" i="1"/>
  <c r="R171" i="3"/>
  <c r="U171"/>
  <c r="Q171"/>
  <c r="S171"/>
  <c r="T171"/>
  <c r="AA168"/>
  <c r="Z168"/>
  <c r="AB168"/>
  <c r="AC168"/>
  <c r="Y168"/>
  <c r="E51" i="1"/>
  <c r="F51"/>
  <c r="Z169" i="3"/>
  <c r="AA169"/>
  <c r="AB169"/>
  <c r="Y169"/>
  <c r="AC169"/>
  <c r="R172"/>
  <c r="S172"/>
  <c r="U172"/>
  <c r="Q172"/>
  <c r="T172"/>
  <c r="H51" i="1"/>
  <c r="G51"/>
  <c r="R173" i="3"/>
  <c r="U173"/>
  <c r="Q173"/>
  <c r="S173"/>
  <c r="T173"/>
  <c r="AA170"/>
  <c r="Z170"/>
  <c r="AB170"/>
  <c r="AC170"/>
  <c r="Y170"/>
  <c r="D52" i="1"/>
  <c r="E52"/>
  <c r="F52"/>
  <c r="Z171" i="3"/>
  <c r="AA171"/>
  <c r="AB171"/>
  <c r="Y171"/>
  <c r="AC171"/>
  <c r="R174"/>
  <c r="S174"/>
  <c r="U174"/>
  <c r="Q174"/>
  <c r="T174"/>
  <c r="R175"/>
  <c r="U175"/>
  <c r="Q175"/>
  <c r="S175"/>
  <c r="T175"/>
  <c r="AA172"/>
  <c r="Z172"/>
  <c r="AB172"/>
  <c r="AC172"/>
  <c r="Y172"/>
  <c r="H52" i="1"/>
  <c r="G52"/>
  <c r="Z173" i="3"/>
  <c r="AA173"/>
  <c r="AB173"/>
  <c r="Y173"/>
  <c r="AC173"/>
  <c r="R176"/>
  <c r="S176"/>
  <c r="U176"/>
  <c r="Q176"/>
  <c r="T176"/>
  <c r="D53" i="1"/>
  <c r="R177" i="3"/>
  <c r="U177"/>
  <c r="Q177"/>
  <c r="S177"/>
  <c r="T177"/>
  <c r="AA174"/>
  <c r="Z174"/>
  <c r="AB174"/>
  <c r="AC174"/>
  <c r="Y174"/>
  <c r="E53" i="1"/>
  <c r="F53"/>
  <c r="Z175" i="3"/>
  <c r="AA175"/>
  <c r="AB175"/>
  <c r="Y175"/>
  <c r="AC175"/>
  <c r="R178"/>
  <c r="S178"/>
  <c r="U178"/>
  <c r="Q178"/>
  <c r="T178"/>
  <c r="H53" i="1"/>
  <c r="G53"/>
  <c r="R179" i="3"/>
  <c r="U179"/>
  <c r="Q179"/>
  <c r="T179"/>
  <c r="S179"/>
  <c r="AA176"/>
  <c r="Z176"/>
  <c r="AB176"/>
  <c r="AC176"/>
  <c r="Y176"/>
  <c r="D54" i="1"/>
  <c r="E54"/>
  <c r="F54"/>
  <c r="Z177" i="3"/>
  <c r="AA177"/>
  <c r="AB177"/>
  <c r="Y177"/>
  <c r="AC177"/>
  <c r="R180"/>
  <c r="S180"/>
  <c r="U180"/>
  <c r="Q180"/>
  <c r="T180"/>
  <c r="R181"/>
  <c r="U181"/>
  <c r="Q181"/>
  <c r="T181"/>
  <c r="S181"/>
  <c r="AA178"/>
  <c r="Z178"/>
  <c r="AB178"/>
  <c r="AC178"/>
  <c r="Y178"/>
  <c r="H54" i="1"/>
  <c r="G54"/>
  <c r="Z179" i="3"/>
  <c r="AA179"/>
  <c r="AB179"/>
  <c r="AC179"/>
  <c r="Y179"/>
  <c r="D55" i="1"/>
  <c r="R182" i="3"/>
  <c r="S182"/>
  <c r="U182"/>
  <c r="Q182"/>
  <c r="T182"/>
  <c r="R183"/>
  <c r="U183"/>
  <c r="Q183"/>
  <c r="T183"/>
  <c r="S183"/>
  <c r="AA180"/>
  <c r="Z180"/>
  <c r="AB180"/>
  <c r="Y180"/>
  <c r="AC180"/>
  <c r="E55" i="1"/>
  <c r="F55"/>
  <c r="Z181" i="3"/>
  <c r="AA181"/>
  <c r="AB181"/>
  <c r="AC181"/>
  <c r="Y181"/>
  <c r="G55" i="1"/>
  <c r="H55"/>
  <c r="R184" i="3"/>
  <c r="S184"/>
  <c r="U184"/>
  <c r="Q184"/>
  <c r="T184"/>
  <c r="R185"/>
  <c r="U185"/>
  <c r="Q185"/>
  <c r="T185"/>
  <c r="S185"/>
  <c r="AA182"/>
  <c r="Z182"/>
  <c r="AB182"/>
  <c r="Y182"/>
  <c r="AC182"/>
  <c r="D56" i="1"/>
  <c r="E56"/>
  <c r="F56"/>
  <c r="Z183" i="3"/>
  <c r="AA183"/>
  <c r="AB183"/>
  <c r="AC183"/>
  <c r="Y183"/>
  <c r="R186"/>
  <c r="S186"/>
  <c r="U186"/>
  <c r="Q186"/>
  <c r="T186"/>
  <c r="R187"/>
  <c r="U187"/>
  <c r="Q187"/>
  <c r="T187"/>
  <c r="S187"/>
  <c r="AA184"/>
  <c r="Z184"/>
  <c r="AB184"/>
  <c r="Y184"/>
  <c r="AC184"/>
  <c r="H56" i="1"/>
  <c r="G56"/>
  <c r="Z185" i="3"/>
  <c r="AA185"/>
  <c r="AB185"/>
  <c r="AC185"/>
  <c r="Y185"/>
  <c r="D57" i="1"/>
  <c r="R188" i="3"/>
  <c r="S188"/>
  <c r="U188"/>
  <c r="Q188"/>
  <c r="T188"/>
  <c r="R189"/>
  <c r="U189"/>
  <c r="Q189"/>
  <c r="T189"/>
  <c r="S189"/>
  <c r="AA186"/>
  <c r="Z186"/>
  <c r="AB186"/>
  <c r="Y186"/>
  <c r="AC186"/>
  <c r="E57" i="1"/>
  <c r="F57"/>
  <c r="Z187" i="3"/>
  <c r="AA187"/>
  <c r="AB187"/>
  <c r="AC187"/>
  <c r="Y187"/>
  <c r="G57" i="1"/>
  <c r="H57"/>
  <c r="R190" i="3"/>
  <c r="S190"/>
  <c r="U190"/>
  <c r="Q190"/>
  <c r="T190"/>
  <c r="R191"/>
  <c r="U191"/>
  <c r="Q191"/>
  <c r="T191"/>
  <c r="S191"/>
  <c r="AA188"/>
  <c r="Z188"/>
  <c r="AB188"/>
  <c r="Y188"/>
  <c r="AC188"/>
  <c r="D58" i="1"/>
  <c r="E58"/>
  <c r="F58"/>
  <c r="Z189" i="3"/>
  <c r="AA189"/>
  <c r="AB189"/>
  <c r="AC189"/>
  <c r="Y189"/>
  <c r="R192"/>
  <c r="S192"/>
  <c r="U192"/>
  <c r="Q192"/>
  <c r="T192"/>
  <c r="R193"/>
  <c r="U193"/>
  <c r="Q193"/>
  <c r="T193"/>
  <c r="S193"/>
  <c r="AA190"/>
  <c r="Z190"/>
  <c r="AB190"/>
  <c r="Y190"/>
  <c r="AC190"/>
  <c r="H58" i="1"/>
  <c r="G58"/>
  <c r="Z191" i="3"/>
  <c r="AA191"/>
  <c r="AB191"/>
  <c r="AC191"/>
  <c r="Y191"/>
  <c r="D59" i="1"/>
  <c r="R194" i="3"/>
  <c r="S194"/>
  <c r="U194"/>
  <c r="Q194"/>
  <c r="T194"/>
  <c r="R195"/>
  <c r="U195"/>
  <c r="Q195"/>
  <c r="T195"/>
  <c r="S195"/>
  <c r="AA192"/>
  <c r="Z192"/>
  <c r="AB192"/>
  <c r="Y192"/>
  <c r="AC192"/>
  <c r="E59" i="1"/>
  <c r="F59"/>
  <c r="Z193" i="3"/>
  <c r="AA193"/>
  <c r="AB193"/>
  <c r="AC193"/>
  <c r="Y193"/>
  <c r="G59" i="1"/>
  <c r="H59"/>
  <c r="R196" i="3"/>
  <c r="S196"/>
  <c r="U196"/>
  <c r="Q196"/>
  <c r="T196"/>
  <c r="R197"/>
  <c r="U197"/>
  <c r="Q197"/>
  <c r="T197"/>
  <c r="S197"/>
  <c r="AA194"/>
  <c r="Z194"/>
  <c r="AB194"/>
  <c r="Y194"/>
  <c r="AC194"/>
  <c r="D60" i="1"/>
  <c r="E60"/>
  <c r="F60"/>
  <c r="Z195" i="3"/>
  <c r="AA195"/>
  <c r="AB195"/>
  <c r="AC195"/>
  <c r="Y195"/>
  <c r="S198"/>
  <c r="T198"/>
  <c r="V198"/>
  <c r="R198"/>
  <c r="U198"/>
  <c r="S199"/>
  <c r="V199"/>
  <c r="R199"/>
  <c r="U199"/>
  <c r="T199"/>
  <c r="AA196"/>
  <c r="Z196"/>
  <c r="AB196"/>
  <c r="Y196"/>
  <c r="AC196"/>
  <c r="H60" i="1"/>
  <c r="G60"/>
  <c r="Z197" i="3"/>
  <c r="AA197"/>
  <c r="AB197"/>
  <c r="AC197"/>
  <c r="Y197"/>
  <c r="D61" i="1"/>
  <c r="S200" i="3"/>
  <c r="T200"/>
  <c r="V200"/>
  <c r="R200"/>
  <c r="U200"/>
  <c r="S201"/>
  <c r="V201"/>
  <c r="R201"/>
  <c r="U201"/>
  <c r="T201"/>
  <c r="AB198"/>
  <c r="AA198"/>
  <c r="AC198"/>
  <c r="Z198"/>
  <c r="AD198"/>
  <c r="E61" i="1"/>
  <c r="F61"/>
  <c r="AA199" i="3"/>
  <c r="AB199"/>
  <c r="AC199"/>
  <c r="AD199"/>
  <c r="Z199"/>
  <c r="G61" i="1"/>
  <c r="H61"/>
  <c r="S202" i="3"/>
  <c r="T202"/>
  <c r="V202"/>
  <c r="R202"/>
  <c r="U202"/>
  <c r="S203"/>
  <c r="V203"/>
  <c r="R203"/>
  <c r="U203"/>
  <c r="T203"/>
  <c r="AB200"/>
  <c r="AA200"/>
  <c r="AC200"/>
  <c r="Z200"/>
  <c r="AD200"/>
  <c r="D62" i="1"/>
  <c r="E62"/>
  <c r="F62"/>
  <c r="AA201" i="3"/>
  <c r="AB201"/>
  <c r="AC201"/>
  <c r="AD201"/>
  <c r="Z201"/>
  <c r="S204"/>
  <c r="T204"/>
  <c r="V204"/>
  <c r="R204"/>
  <c r="U204"/>
  <c r="S205"/>
  <c r="V205"/>
  <c r="R205"/>
  <c r="U205"/>
  <c r="T205"/>
  <c r="AB202"/>
  <c r="AA202"/>
  <c r="AC202"/>
  <c r="Z202"/>
  <c r="AD202"/>
  <c r="H62" i="1"/>
  <c r="G62"/>
  <c r="AA203" i="3"/>
  <c r="AB203"/>
  <c r="AC203"/>
  <c r="AD203"/>
  <c r="Z203"/>
  <c r="D63" i="1"/>
  <c r="S206" i="3"/>
  <c r="T206"/>
  <c r="V206"/>
  <c r="R206"/>
  <c r="U206"/>
  <c r="S207"/>
  <c r="V207"/>
  <c r="R207"/>
  <c r="U207"/>
  <c r="T207"/>
  <c r="AB204"/>
  <c r="AA204"/>
  <c r="AC204"/>
  <c r="Z204"/>
  <c r="AD204"/>
  <c r="E63" i="1"/>
  <c r="F63"/>
  <c r="AA205" i="3"/>
  <c r="AB205"/>
  <c r="AC205"/>
  <c r="AD205"/>
  <c r="Z205"/>
  <c r="G63" i="1"/>
  <c r="H63"/>
  <c r="S208" i="3"/>
  <c r="T208"/>
  <c r="V208"/>
  <c r="R208"/>
  <c r="U208"/>
  <c r="S209"/>
  <c r="V209"/>
  <c r="R209"/>
  <c r="U209"/>
  <c r="T209"/>
  <c r="AB206"/>
  <c r="AA206"/>
  <c r="AC206"/>
  <c r="Z206"/>
  <c r="AD206"/>
  <c r="D64" i="1"/>
  <c r="E64"/>
  <c r="F64"/>
  <c r="AA207" i="3"/>
  <c r="AB207"/>
  <c r="AC207"/>
  <c r="AD207"/>
  <c r="Z207"/>
  <c r="S210"/>
  <c r="T210"/>
  <c r="V210"/>
  <c r="R210"/>
  <c r="U210"/>
  <c r="S211"/>
  <c r="V211"/>
  <c r="R211"/>
  <c r="U211"/>
  <c r="T211"/>
  <c r="AB208"/>
  <c r="AA208"/>
  <c r="AC208"/>
  <c r="Z208"/>
  <c r="AD208"/>
  <c r="H64" i="1"/>
  <c r="G64"/>
  <c r="AA209" i="3"/>
  <c r="AB209"/>
  <c r="AC209"/>
  <c r="AD209"/>
  <c r="Z209"/>
  <c r="D65" i="1"/>
  <c r="S212" i="3"/>
  <c r="T212"/>
  <c r="V212"/>
  <c r="R212"/>
  <c r="U212"/>
  <c r="S213"/>
  <c r="V213"/>
  <c r="R213"/>
  <c r="U213"/>
  <c r="T213"/>
  <c r="AB210"/>
  <c r="AA210"/>
  <c r="AC210"/>
  <c r="Z210"/>
  <c r="AD210"/>
  <c r="E65" i="1"/>
  <c r="F65"/>
  <c r="AA211" i="3"/>
  <c r="AB211"/>
  <c r="AC211"/>
  <c r="AD211"/>
  <c r="Z211"/>
  <c r="G65" i="1"/>
  <c r="H65"/>
  <c r="S214" i="3"/>
  <c r="T214"/>
  <c r="V214"/>
  <c r="R214"/>
  <c r="U214"/>
  <c r="S215"/>
  <c r="V215"/>
  <c r="R215"/>
  <c r="U215"/>
  <c r="T215"/>
  <c r="AB212"/>
  <c r="AA212"/>
  <c r="AC212"/>
  <c r="Z212"/>
  <c r="AD212"/>
  <c r="D66" i="1"/>
  <c r="E66"/>
  <c r="F66"/>
  <c r="AA213" i="3"/>
  <c r="AB213"/>
  <c r="AC213"/>
  <c r="AD213"/>
  <c r="Z213"/>
  <c r="V216"/>
  <c r="S216"/>
  <c r="R216"/>
  <c r="U216"/>
  <c r="T216"/>
  <c r="AA214"/>
  <c r="AB214"/>
  <c r="AC214"/>
  <c r="Z214"/>
  <c r="AD214"/>
  <c r="H66" i="1"/>
  <c r="G66"/>
  <c r="AA215" i="3"/>
  <c r="AB215"/>
  <c r="AC215"/>
  <c r="AD215"/>
  <c r="Z215"/>
  <c r="D67" i="1"/>
  <c r="AC216" i="3"/>
  <c r="AB216"/>
  <c r="AA216"/>
  <c r="AD216"/>
  <c r="Z216"/>
  <c r="E67" i="1"/>
  <c r="F67"/>
  <c r="G67"/>
  <c r="H67"/>
  <c r="D68"/>
  <c r="E68"/>
  <c r="F68"/>
  <c r="H68"/>
  <c r="G68"/>
  <c r="D69"/>
  <c r="E69"/>
  <c r="F69"/>
  <c r="H69"/>
  <c r="G69"/>
  <c r="D70"/>
  <c r="E70"/>
  <c r="F70"/>
  <c r="H70"/>
  <c r="G70"/>
  <c r="B13" i="5"/>
  <c r="H13"/>
  <c r="G18"/>
  <c r="D13"/>
  <c r="C11"/>
  <c r="C18"/>
  <c r="D17"/>
  <c r="H17"/>
  <c r="E13"/>
  <c r="F13"/>
  <c r="C14"/>
  <c r="C15"/>
  <c r="C13"/>
  <c r="B172" i="6"/>
  <c r="B174"/>
  <c r="C176"/>
  <c r="B176"/>
  <c r="C178"/>
  <c r="B178"/>
  <c r="B183"/>
  <c r="C72"/>
  <c r="B72"/>
  <c r="C73"/>
  <c r="B73"/>
  <c r="C74"/>
  <c r="B74"/>
  <c r="C75"/>
  <c r="B75"/>
  <c r="C76"/>
  <c r="B76"/>
  <c r="C77"/>
  <c r="B77"/>
  <c r="C78"/>
  <c r="B78"/>
  <c r="C79"/>
  <c r="B79"/>
  <c r="C80"/>
  <c r="B80"/>
  <c r="C81"/>
  <c r="B81"/>
  <c r="C82"/>
  <c r="B82"/>
  <c r="C83"/>
  <c r="B83"/>
  <c r="C84"/>
  <c r="B84"/>
  <c r="C85"/>
  <c r="B85"/>
  <c r="C86"/>
  <c r="B86"/>
  <c r="C87"/>
  <c r="B87"/>
  <c r="C88"/>
  <c r="B88"/>
  <c r="C89"/>
  <c r="B89"/>
  <c r="C90"/>
  <c r="B90"/>
  <c r="C91"/>
  <c r="B91"/>
  <c r="C92"/>
  <c r="B92"/>
  <c r="C93"/>
  <c r="B93"/>
  <c r="C94"/>
  <c r="B94"/>
  <c r="C95"/>
  <c r="B95"/>
  <c r="C96"/>
  <c r="B96"/>
  <c r="C97"/>
  <c r="B97"/>
  <c r="C98"/>
  <c r="B98"/>
  <c r="C99"/>
  <c r="B99"/>
  <c r="C100"/>
  <c r="B100"/>
  <c r="C101"/>
  <c r="B101"/>
  <c r="C102"/>
  <c r="B102"/>
  <c r="C103"/>
  <c r="B103"/>
  <c r="C104"/>
  <c r="B104"/>
  <c r="C105"/>
  <c r="B105"/>
  <c r="C106"/>
  <c r="B106"/>
  <c r="C107"/>
  <c r="B107"/>
  <c r="C108"/>
  <c r="B108"/>
  <c r="C109"/>
  <c r="B109"/>
  <c r="C110"/>
  <c r="B110"/>
  <c r="C111"/>
  <c r="B111"/>
  <c r="C112"/>
  <c r="B112"/>
  <c r="C113"/>
  <c r="B113"/>
  <c r="C114"/>
  <c r="B114"/>
  <c r="C115"/>
  <c r="B115"/>
  <c r="C116"/>
  <c r="B116"/>
  <c r="C117"/>
  <c r="B117"/>
  <c r="C118"/>
  <c r="B118"/>
  <c r="C119"/>
  <c r="B119"/>
  <c r="C120"/>
  <c r="B120"/>
  <c r="C121"/>
  <c r="B121"/>
  <c r="C122"/>
  <c r="B122"/>
  <c r="C123"/>
  <c r="B123"/>
  <c r="C124"/>
  <c r="B124"/>
  <c r="C125"/>
  <c r="B125"/>
  <c r="C126"/>
  <c r="B126"/>
  <c r="C127"/>
  <c r="B127"/>
  <c r="C128"/>
  <c r="B128"/>
  <c r="C129"/>
  <c r="B129"/>
  <c r="C130"/>
  <c r="B130"/>
  <c r="C131"/>
  <c r="B131"/>
  <c r="C132"/>
  <c r="B132"/>
  <c r="C133"/>
  <c r="B133"/>
  <c r="C134"/>
  <c r="B134"/>
  <c r="C135"/>
  <c r="B135"/>
  <c r="C136"/>
  <c r="B136"/>
  <c r="C137"/>
  <c r="B137"/>
  <c r="C138"/>
  <c r="B138"/>
  <c r="C139"/>
  <c r="B139"/>
  <c r="C140"/>
  <c r="B140"/>
  <c r="C141"/>
  <c r="B141"/>
  <c r="C142"/>
  <c r="B142"/>
  <c r="C143"/>
  <c r="B143"/>
  <c r="C144"/>
  <c r="B144"/>
  <c r="C145"/>
  <c r="B145"/>
  <c r="C146"/>
  <c r="B146"/>
  <c r="C147"/>
  <c r="B147"/>
  <c r="C148"/>
  <c r="B148"/>
  <c r="C149"/>
  <c r="B149"/>
  <c r="C150"/>
  <c r="B150"/>
  <c r="C151"/>
  <c r="B151"/>
  <c r="C173"/>
  <c r="B173"/>
  <c r="B175"/>
  <c r="B179"/>
  <c r="C180"/>
  <c r="B180"/>
  <c r="C182"/>
  <c r="B182"/>
  <c r="C184"/>
  <c r="B184"/>
  <c r="B187"/>
  <c r="B191"/>
  <c r="B195"/>
  <c r="B199"/>
  <c r="C201"/>
  <c r="B201"/>
  <c r="C197"/>
  <c r="B197"/>
  <c r="C193"/>
  <c r="B193"/>
  <c r="C189"/>
  <c r="B189"/>
  <c r="C185"/>
  <c r="B185"/>
  <c r="C181"/>
  <c r="B181"/>
  <c r="C177"/>
  <c r="B177"/>
  <c r="C210"/>
  <c r="B210"/>
  <c r="B212"/>
  <c r="C26"/>
  <c r="D152"/>
  <c r="E152"/>
  <c r="C152"/>
  <c r="B152"/>
  <c r="D153"/>
  <c r="E153"/>
  <c r="D154"/>
  <c r="E154"/>
  <c r="C154"/>
  <c r="B154"/>
  <c r="D155"/>
  <c r="E155"/>
  <c r="D156"/>
  <c r="E156"/>
  <c r="C156"/>
  <c r="B156"/>
  <c r="D157"/>
  <c r="E157"/>
  <c r="D158"/>
  <c r="E158"/>
  <c r="C158"/>
  <c r="B158"/>
  <c r="D159"/>
  <c r="E159"/>
  <c r="D160"/>
  <c r="E160"/>
  <c r="C160"/>
  <c r="B160"/>
  <c r="D161"/>
  <c r="E161"/>
  <c r="D162"/>
  <c r="E162"/>
  <c r="C162"/>
  <c r="B162"/>
  <c r="D163"/>
  <c r="E163"/>
  <c r="C23"/>
  <c r="B23"/>
  <c r="F23"/>
  <c r="B44"/>
  <c r="B48"/>
  <c r="B52"/>
  <c r="B56"/>
  <c r="B60"/>
  <c r="B64"/>
  <c r="B68"/>
  <c r="B171"/>
  <c r="C211"/>
  <c r="B211"/>
  <c r="B26"/>
  <c r="B30"/>
  <c r="B34"/>
  <c r="B38"/>
  <c r="B42"/>
  <c r="B46"/>
  <c r="B50"/>
  <c r="B54"/>
  <c r="B58"/>
  <c r="B62"/>
  <c r="B66"/>
  <c r="B70"/>
  <c r="C213"/>
  <c r="B213"/>
  <c r="C214"/>
  <c r="B214"/>
  <c r="C215"/>
  <c r="B215"/>
  <c r="B216"/>
  <c r="C217"/>
  <c r="B217"/>
  <c r="C218"/>
  <c r="B218"/>
  <c r="B219"/>
  <c r="B220"/>
  <c r="B221"/>
  <c r="C222"/>
  <c r="B222"/>
  <c r="C223"/>
  <c r="B223"/>
  <c r="B224"/>
  <c r="B225"/>
  <c r="C226"/>
  <c r="B226"/>
  <c r="C227"/>
  <c r="B227"/>
  <c r="B228"/>
  <c r="C229"/>
  <c r="B229"/>
  <c r="C230"/>
  <c r="B230"/>
  <c r="B231"/>
  <c r="B232"/>
  <c r="C233"/>
  <c r="B233"/>
  <c r="C234"/>
  <c r="B234"/>
  <c r="B235"/>
  <c r="B236"/>
  <c r="C237"/>
  <c r="B237"/>
  <c r="C238"/>
  <c r="B238"/>
  <c r="B239"/>
  <c r="B240"/>
  <c r="C241"/>
  <c r="B241"/>
  <c r="C242"/>
  <c r="B242"/>
  <c r="B243"/>
  <c r="B244"/>
  <c r="C245"/>
  <c r="B245"/>
  <c r="C246"/>
  <c r="B246"/>
  <c r="B247"/>
  <c r="B248"/>
  <c r="C249"/>
  <c r="B249"/>
  <c r="C250"/>
  <c r="B250"/>
  <c r="B251"/>
  <c r="B252"/>
  <c r="C253"/>
  <c r="B253"/>
  <c r="C254"/>
  <c r="B254"/>
  <c r="B255"/>
  <c r="B256"/>
  <c r="C257"/>
  <c r="B257"/>
  <c r="C258"/>
  <c r="B258"/>
  <c r="B259"/>
  <c r="B260"/>
  <c r="C261"/>
  <c r="B261"/>
  <c r="C262"/>
  <c r="B262"/>
  <c r="C40"/>
  <c r="B40"/>
  <c r="C36"/>
  <c r="B36"/>
  <c r="C32"/>
  <c r="B32"/>
  <c r="C28"/>
  <c r="B28"/>
  <c r="C24"/>
  <c r="B24"/>
  <c r="C33"/>
  <c r="B33"/>
  <c r="C37"/>
  <c r="B37"/>
  <c r="C41"/>
  <c r="B41"/>
  <c r="C45"/>
  <c r="B45"/>
  <c r="C49"/>
  <c r="B49"/>
  <c r="C53"/>
  <c r="B53"/>
  <c r="C57"/>
  <c r="B57"/>
  <c r="C61"/>
  <c r="B61"/>
  <c r="C65"/>
  <c r="B65"/>
  <c r="C69"/>
  <c r="B69"/>
  <c r="D164"/>
  <c r="E164"/>
  <c r="D165"/>
  <c r="E165"/>
  <c r="D166"/>
  <c r="E166"/>
  <c r="D167"/>
  <c r="E167"/>
  <c r="D168"/>
  <c r="E168"/>
  <c r="D169"/>
  <c r="E169"/>
  <c r="C170"/>
  <c r="B170"/>
  <c r="C35" i="8"/>
  <c r="F24" i="6"/>
  <c r="F25"/>
  <c r="C163"/>
  <c r="B163"/>
  <c r="C161"/>
  <c r="B161"/>
  <c r="C159"/>
  <c r="B159"/>
  <c r="C157"/>
  <c r="B157"/>
  <c r="C155"/>
  <c r="B155"/>
  <c r="C153"/>
  <c r="B153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C167"/>
  <c r="B167"/>
  <c r="C168"/>
  <c r="B168"/>
  <c r="C166"/>
  <c r="B166"/>
  <c r="C164"/>
  <c r="B164"/>
  <c r="C169"/>
  <c r="B169"/>
  <c r="C165"/>
  <c r="B165"/>
  <c r="C46" i="8"/>
  <c r="C58" s="1"/>
  <c r="C114" s="1"/>
  <c r="C48"/>
  <c r="F164" i="6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D114" i="8" l="1"/>
  <c r="D115" s="1"/>
  <c r="D58"/>
  <c r="E114"/>
  <c r="E115" s="1"/>
  <c r="E58"/>
  <c r="C99"/>
  <c r="B31" i="9"/>
  <c r="B43"/>
  <c r="C106" i="8" l="1"/>
  <c r="C108" s="1"/>
  <c r="F99"/>
  <c r="B46" i="9"/>
  <c r="C109" i="8" l="1"/>
  <c r="C113"/>
  <c r="C115" s="1"/>
  <c r="C44" i="9"/>
  <c r="C46" s="1"/>
  <c r="B48"/>
  <c r="D44" l="1"/>
  <c r="D46" s="1"/>
  <c r="B50" s="1"/>
  <c r="B49"/>
</calcChain>
</file>

<file path=xl/sharedStrings.xml><?xml version="1.0" encoding="utf-8"?>
<sst xmlns="http://schemas.openxmlformats.org/spreadsheetml/2006/main" count="956" uniqueCount="398">
  <si>
    <t>FINANCIAL LEASE CALCULATOR</t>
  </si>
  <si>
    <t>27/1/92</t>
  </si>
  <si>
    <t>Alan Jamieson, QDPI, Rockhampton. Phone 079-360234</t>
  </si>
  <si>
    <t>Calculates</t>
  </si>
  <si>
    <t xml:space="preserve">  - Effective interest rate for a lease agreement (5yr maximum term)</t>
  </si>
  <si>
    <t xml:space="preserve">  - Interest, principle payment schedule and outstanding principle</t>
  </si>
  <si>
    <t>Principle  ($)</t>
  </si>
  <si>
    <t>&lt;-</t>
  </si>
  <si>
    <t>EFFECTIVE INTEREST RATE</t>
  </si>
  <si>
    <t>Residual   ($)</t>
  </si>
  <si>
    <t>Term     (yrs)</t>
  </si>
  <si>
    <t>Rate per period</t>
  </si>
  <si>
    <t>Pmts/yr</t>
  </si>
  <si>
    <t>Payment    ($)</t>
  </si>
  <si>
    <t>Date of first payment:</t>
  </si>
  <si>
    <t>Day   (DD)</t>
  </si>
  <si>
    <t>Month (MM)</t>
  </si>
  <si>
    <t>Year  (YR)</t>
  </si>
  <si>
    <t>Cumulative</t>
  </si>
  <si>
    <t>Outstanding</t>
  </si>
  <si>
    <t>Payment</t>
  </si>
  <si>
    <t>Date</t>
  </si>
  <si>
    <t>Pmt</t>
  </si>
  <si>
    <t>Interest</t>
  </si>
  <si>
    <t>Cashflow</t>
  </si>
  <si>
    <t>-----------------------</t>
  </si>
  <si>
    <t>---------------</t>
  </si>
  <si>
    <t>-----------------------------</t>
  </si>
  <si>
    <t>Principal</t>
  </si>
  <si>
    <t xml:space="preserve">  'FORMAT FOR COMPARING LOANS ON THEIR EFFECTIVE RATE OF  </t>
  </si>
  <si>
    <t xml:space="preserve"> </t>
  </si>
  <si>
    <t xml:space="preserve">     INTEREST INCLUDING COSTS</t>
  </si>
  <si>
    <t>KEY FIGURES:</t>
  </si>
  <si>
    <t xml:space="preserve"> Amount of loan </t>
  </si>
  <si>
    <t xml:space="preserve"> Term of loan (years)</t>
  </si>
  <si>
    <t xml:space="preserve"> Quoted interest rate</t>
  </si>
  <si>
    <t>Payment schedule</t>
  </si>
  <si>
    <t xml:space="preserve">       monthly</t>
  </si>
  <si>
    <t xml:space="preserve"> Annual administration fee</t>
  </si>
  <si>
    <t xml:space="preserve"> Establishment fee</t>
  </si>
  <si>
    <t>STEP 1</t>
  </si>
  <si>
    <t xml:space="preserve">          Line</t>
  </si>
  <si>
    <t xml:space="preserve">List the quoted interest rate as the nominal rate or in the </t>
  </si>
  <si>
    <t>case of commercial bills, as the yield rate.</t>
  </si>
  <si>
    <t>STEP 2</t>
  </si>
  <si>
    <t>Calculate the annual administration fees as a percentage</t>
  </si>
  <si>
    <t>of the loan.</t>
  </si>
  <si>
    <t>STEP 3</t>
  </si>
  <si>
    <t>Add the administrative fee to the quoted interest rate.</t>
  </si>
  <si>
    <t>STEP 4</t>
  </si>
  <si>
    <t>Now convert this to an effective rate by referring to the</t>
  </si>
  <si>
    <t>example at the top of Table 1.</t>
  </si>
  <si>
    <t>STEP 5</t>
  </si>
  <si>
    <t>Using the interest rate calculated in STEP 4 calculate the</t>
  </si>
  <si>
    <t>annual cost of the establishment fee.</t>
  </si>
  <si>
    <t xml:space="preserve"> (a) List the establisment fee as a percentage of the loan</t>
  </si>
  <si>
    <t xml:space="preserve"> (b) List the length of the loan</t>
  </si>
  <si>
    <t xml:space="preserve"> (c) List the interest rate calculated in STEP 4 but rounded to</t>
  </si>
  <si>
    <t xml:space="preserve">      nearest whole number</t>
  </si>
  <si>
    <t xml:space="preserve"> (d) look up the amortization fraction using the above</t>
  </si>
  <si>
    <t xml:space="preserve">       two figures</t>
  </si>
  <si>
    <t xml:space="preserve"> (e) Multiply the above fraction (line 8) by the establishment </t>
  </si>
  <si>
    <t xml:space="preserve">       fee % (line 5)</t>
  </si>
  <si>
    <t>STEP 6</t>
  </si>
  <si>
    <t xml:space="preserve">Add the annual cost of the establishment fee, calculated </t>
  </si>
  <si>
    <t xml:space="preserve">in STEP 5, to the effective interest rate (ERI) after </t>
  </si>
  <si>
    <t>administration fees, calculated in STEP 4.</t>
  </si>
  <si>
    <t>Line 4</t>
  </si>
  <si>
    <t>Plus line 9</t>
  </si>
  <si>
    <t>EQUALS APPROXIMATE ERIC</t>
  </si>
  <si>
    <t>CALCULATION OF PRINCIPLE AND INTEREST COMPONENTS ON BONDS</t>
  </si>
  <si>
    <t>ANZ bank formula for using yield rate on bonds,</t>
  </si>
  <si>
    <t>interest payablein advance</t>
  </si>
  <si>
    <t>Yield rate</t>
  </si>
  <si>
    <t>Days of term</t>
  </si>
  <si>
    <t>Face value</t>
  </si>
  <si>
    <t>Principle</t>
  </si>
  <si>
    <t>(Or ERIC)</t>
  </si>
  <si>
    <t>PLANT PURCHASE - LEASE vs HIRE PURCHASE vs BANK LOAN vs CASH</t>
  </si>
  <si>
    <t>Cost</t>
  </si>
  <si>
    <t>Depreciation Rate</t>
  </si>
  <si>
    <t>Marginal Tax Rate</t>
  </si>
  <si>
    <t>Marginal Cost Of New Debt</t>
  </si>
  <si>
    <t>Marginal Cost Of New Debt After Tax</t>
  </si>
  <si>
    <t>Opportunity cost for cash (before tax)</t>
  </si>
  <si>
    <t>BANK</t>
  </si>
  <si>
    <t>^^</t>
  </si>
  <si>
    <t>LEASE</t>
  </si>
  <si>
    <t>HP</t>
  </si>
  <si>
    <t>LOAN</t>
  </si>
  <si>
    <t>CASH</t>
  </si>
  <si>
    <t>Establishment Fee</t>
  </si>
  <si>
    <t>NA</t>
  </si>
  <si>
    <t>Stamp Duty (%)</t>
  </si>
  <si>
    <t>Term (yrs)</t>
  </si>
  <si>
    <t>Payments per year</t>
  </si>
  <si>
    <t>Interest Rate (%)^</t>
  </si>
  <si>
    <t>Residual (%)</t>
  </si>
  <si>
    <t>Residual Value ($)</t>
  </si>
  <si>
    <t>Deposit ($)</t>
  </si>
  <si>
    <t>ANNUAL PAYMENT ($)</t>
  </si>
  <si>
    <t>NET PRESENT VALUE ($)</t>
  </si>
  <si>
    <t>^ Simple Interest rate is used for all options</t>
  </si>
  <si>
    <t>^^ If an established overdraft is used establishment fee, stamp duty</t>
  </si>
  <si>
    <t xml:space="preserve">   and deposit do not apply.</t>
  </si>
  <si>
    <t>=</t>
  </si>
  <si>
    <t>===============</t>
  </si>
  <si>
    <t>=========</t>
  </si>
  <si>
    <t>CASH PAYMENTS AND TAX BENEFITS</t>
  </si>
  <si>
    <t xml:space="preserve">      LEASE</t>
  </si>
  <si>
    <t xml:space="preserve">  HIRE PURCHASE</t>
  </si>
  <si>
    <t>BANK LOAN</t>
  </si>
  <si>
    <t xml:space="preserve">  CASH PURCHASE</t>
  </si>
  <si>
    <t>|</t>
  </si>
  <si>
    <t>----------------</t>
  </si>
  <si>
    <t>+++++++++</t>
  </si>
  <si>
    <t>TAX</t>
  </si>
  <si>
    <t>YEAR</t>
  </si>
  <si>
    <t>COST</t>
  </si>
  <si>
    <t>BENEFIT</t>
  </si>
  <si>
    <t>--------------------------------</t>
  </si>
  <si>
    <t>======================</t>
  </si>
  <si>
    <t>LEASING</t>
  </si>
  <si>
    <t>Stamp Duty</t>
  </si>
  <si>
    <t>TERM OF LEASE (YRS)</t>
  </si>
  <si>
    <t>PURCHASE PRICE</t>
  </si>
  <si>
    <t>INTEREST RATE (ANNUAL)</t>
  </si>
  <si>
    <t>RESIDUAL VALUE (%)</t>
  </si>
  <si>
    <t>RESIDUAL VALUE ($)</t>
  </si>
  <si>
    <t>PAYMENTS PER YEAR</t>
  </si>
  <si>
    <t>TOTAL PAYMENTS</t>
  </si>
  <si>
    <t>INTEREST RATE PER PERIOD</t>
  </si>
  <si>
    <t>PAYMENT PER PERIOD</t>
  </si>
  <si>
    <t>TOTAL PAYMENTS PER YEAR</t>
  </si>
  <si>
    <t>MARGINAL TAX RATE</t>
  </si>
  <si>
    <t>NPV DISCOUNT FACTOR</t>
  </si>
  <si>
    <t>------------------</t>
  </si>
  <si>
    <t>Lease Rentals</t>
  </si>
  <si>
    <t>Residual Value</t>
  </si>
  <si>
    <t>Tax Savings</t>
  </si>
  <si>
    <t xml:space="preserve"> - Lease Rental</t>
  </si>
  <si>
    <t xml:space="preserve"> - Depreciation</t>
  </si>
  <si>
    <t xml:space="preserve">   on Residual</t>
  </si>
  <si>
    <t>NET PRESENT VALUE COST =</t>
  </si>
  <si>
    <t>TERM OF LOAN (YRS)</t>
  </si>
  <si>
    <t>DEPOSIT</t>
  </si>
  <si>
    <t>Term</t>
  </si>
  <si>
    <t>AMOUNT BORROWED</t>
  </si>
  <si>
    <t>-</t>
  </si>
  <si>
    <t>COMPOUNDING PERIODS PER YR</t>
  </si>
  <si>
    <t>PAYMENT PER YEAR</t>
  </si>
  <si>
    <t>DEPRECIATION RATE</t>
  </si>
  <si>
    <t>Year</t>
  </si>
  <si>
    <t>Deposit</t>
  </si>
  <si>
    <t>Capital Payments</t>
  </si>
  <si>
    <t>Interest Payments</t>
  </si>
  <si>
    <t>Tax Deductions</t>
  </si>
  <si>
    <t>- Interest</t>
  </si>
  <si>
    <t>- Depreciation</t>
  </si>
  <si>
    <t>HIRE PURCHASE</t>
  </si>
  <si>
    <t>Simple</t>
  </si>
  <si>
    <t>Tax Saving</t>
  </si>
  <si>
    <t>CASH PURCHASE</t>
  </si>
  <si>
    <t>Initial outlay</t>
  </si>
  <si>
    <t>Opportunity Cost</t>
  </si>
  <si>
    <t>Tax saving</t>
  </si>
  <si>
    <t>Cost less depreciation</t>
  </si>
  <si>
    <t>YIELD AFTER TAX (SHARES AND FIXED INTEREST SECURITIES)</t>
  </si>
  <si>
    <t>Marginal tax rate</t>
  </si>
  <si>
    <t>%</t>
  </si>
  <si>
    <t>&lt;- INPUT</t>
  </si>
  <si>
    <t>Security</t>
  </si>
  <si>
    <t>Bank</t>
  </si>
  <si>
    <t>GPT</t>
  </si>
  <si>
    <t>Market Price ($)</t>
  </si>
  <si>
    <t>Dividend (c/share)</t>
  </si>
  <si>
    <t>Franking (%)</t>
  </si>
  <si>
    <t>Dividend yield after tax (%) ^^</t>
  </si>
  <si>
    <t>^^ Assumes sufficient unfranked income to utilise excess tax credits</t>
  </si>
  <si>
    <t>CALCULATIONS</t>
  </si>
  <si>
    <t>Unfranked portion of dividend</t>
  </si>
  <si>
    <t>Franked portion of dividend</t>
  </si>
  <si>
    <t>+ Gross up ( x 39/61)</t>
  </si>
  <si>
    <t>= Grossed up dividend (c/Share)</t>
  </si>
  <si>
    <t>Tax assessed at</t>
  </si>
  <si>
    <t>- Tax credit (39c for each $1)</t>
  </si>
  <si>
    <t>= Tax payable (excess tax credits)</t>
  </si>
  <si>
    <t>Original dividend received</t>
  </si>
  <si>
    <t>+ Excess tax credit (- tax payable)</t>
  </si>
  <si>
    <t>= After-tax dividend ^^</t>
  </si>
  <si>
    <t>Dividend yield after tax ^^</t>
  </si>
  <si>
    <t>^^ Assumes sufficient unfranked income to utilies excess tax credits</t>
  </si>
  <si>
    <t>INTEREST.WS - Equivalents to annual repayments - Devised by W.E.Holmes, D.P.I., Townsville.</t>
  </si>
  <si>
    <t>------------------------------------------------------------------------------------------------</t>
  </si>
  <si>
    <t>Repayment Interval ........</t>
  </si>
  <si>
    <t>Annual</t>
  </si>
  <si>
    <t xml:space="preserve"> Biannual</t>
  </si>
  <si>
    <t>Quarterly</t>
  </si>
  <si>
    <t>Monthly</t>
  </si>
  <si>
    <t>Fortnight</t>
  </si>
  <si>
    <t xml:space="preserve">   Weekly</t>
  </si>
  <si>
    <t xml:space="preserve">    Daily</t>
  </si>
  <si>
    <t>Interest rate per period %</t>
  </si>
  <si>
    <t>Number of repayments ......</t>
  </si>
  <si>
    <t>Amount borrowed ...........</t>
  </si>
  <si>
    <t>Residual (on leases) ......</t>
  </si>
  <si>
    <t>Each repayment ............</t>
  </si>
  <si>
    <t>Annual repayment ..........</t>
  </si>
  <si>
    <t>Total repayment ...........</t>
  </si>
  <si>
    <t>Interest component ........</t>
  </si>
  <si>
    <t xml:space="preserve">Effective interest rate/yr </t>
  </si>
  <si>
    <t>Nominal interest rate .....</t>
  </si>
  <si>
    <t>Nominal % charged in advanc</t>
  </si>
  <si>
    <t>Note: Interest charged annually in arrears at say 20% will cost the</t>
  </si>
  <si>
    <t xml:space="preserve">      same as interest charged six monthly at 9.54%, because more</t>
  </si>
  <si>
    <t xml:space="preserve">      frequently charged interest compounds itself. Interest rate</t>
  </si>
  <si>
    <t xml:space="preserve">      per period is calculated to cost the same as interest charged</t>
  </si>
  <si>
    <t xml:space="preserve">      annually in arrears and shown in column 2. Interest costed</t>
  </si>
  <si>
    <t xml:space="preserve">      into leases may be quoted at a nominal annual rate which is</t>
  </si>
  <si>
    <t xml:space="preserve">      12 times the monthly rate, thus understating the true cost.</t>
  </si>
  <si>
    <t>ANZ bank formula for using "yield rate" on bonds,</t>
  </si>
  <si>
    <t>interest payable in advance.</t>
  </si>
  <si>
    <t>(Yield rate * days of term +36500)* principal / 36500</t>
  </si>
  <si>
    <t>Yield rate .........</t>
  </si>
  <si>
    <t>Days of term .......</t>
  </si>
  <si>
    <t>Face value .........</t>
  </si>
  <si>
    <t>Principal ..........</t>
  </si>
  <si>
    <t>Interest ...........</t>
  </si>
  <si>
    <t xml:space="preserve">       LOAN AMORTIZATION - EQUAL PAYMENTS</t>
  </si>
  <si>
    <t xml:space="preserve">     Adapted from LOANEP version 1.0, Texas A&amp;M University, Texas</t>
  </si>
  <si>
    <t xml:space="preserve">     Name:</t>
  </si>
  <si>
    <t>John Citizen</t>
  </si>
  <si>
    <t>Date:</t>
  </si>
  <si>
    <t xml:space="preserve">  Loan Repayment Input</t>
  </si>
  <si>
    <t>-----------------</t>
  </si>
  <si>
    <t>----------------------</t>
  </si>
  <si>
    <t xml:space="preserve"> Principal </t>
  </si>
  <si>
    <t>$</t>
  </si>
  <si>
    <t>_____________</t>
  </si>
  <si>
    <t/>
  </si>
  <si>
    <t xml:space="preserve"> Years to maturity</t>
  </si>
  <si>
    <t>years</t>
  </si>
  <si>
    <t xml:space="preserve"> Annual interest rate</t>
  </si>
  <si>
    <t xml:space="preserve"> Payments per year</t>
  </si>
  <si>
    <t xml:space="preserve"> Periodic interest rate</t>
  </si>
  <si>
    <t xml:space="preserve"> Would you prefer a periodic (1) or annual (2) </t>
  </si>
  <si>
    <t xml:space="preserve">       Loan Amortization Schedule:</t>
  </si>
  <si>
    <t xml:space="preserve">   Loan Amortization Schedule</t>
  </si>
  <si>
    <t>Total</t>
  </si>
  <si>
    <t>Loan</t>
  </si>
  <si>
    <t>Period</t>
  </si>
  <si>
    <t>Payments</t>
  </si>
  <si>
    <t>Balance</t>
  </si>
  <si>
    <t>annual int</t>
  </si>
  <si>
    <t>periodic int</t>
  </si>
  <si>
    <t># of periods</t>
  </si>
  <si>
    <t>current period</t>
  </si>
  <si>
    <t>coeff 4 annual pymt</t>
  </si>
  <si>
    <t>current int</t>
  </si>
  <si>
    <t>SIMPLE LOAN CALCULATOR</t>
  </si>
  <si>
    <t>Principal      ($) :</t>
  </si>
  <si>
    <t xml:space="preserve">  &lt;---------</t>
  </si>
  <si>
    <t>Update</t>
  </si>
  <si>
    <t>Interest Rate  (%) :</t>
  </si>
  <si>
    <t>Term of loan  (Yrs):</t>
  </si>
  <si>
    <t>Pmts per year (No) :</t>
  </si>
  <si>
    <t>Periodic IR        :</t>
  </si>
  <si>
    <t>Number of payments :</t>
  </si>
  <si>
    <t>=============</t>
  </si>
  <si>
    <t>=================</t>
  </si>
  <si>
    <t>Payment/period     :</t>
  </si>
  <si>
    <t>Payment/year       :</t>
  </si>
  <si>
    <t>Total Amt Repaid   :</t>
  </si>
  <si>
    <t>Total interest paid:</t>
  </si>
  <si>
    <t xml:space="preserve">           THE ECONOMIC ASPECTS OF PROPERTY PURCHASE</t>
  </si>
  <si>
    <t>Region:</t>
  </si>
  <si>
    <t>1. Basis of the analysis:</t>
  </si>
  <si>
    <t>* An average season and animal production for country specified.</t>
  </si>
  <si>
    <t>* Price of country</t>
  </si>
  <si>
    <t>/hectare</t>
  </si>
  <si>
    <t>* Stocking rate</t>
  </si>
  <si>
    <t>hectares/dry sheep equivalent</t>
  </si>
  <si>
    <t xml:space="preserve">* Price per dry sheep equivalent </t>
  </si>
  <si>
    <t>/dry sheep equivalent</t>
  </si>
  <si>
    <t xml:space="preserve">* Property size </t>
  </si>
  <si>
    <t>hectares</t>
  </si>
  <si>
    <t xml:space="preserve">* Property investment        </t>
  </si>
  <si>
    <t xml:space="preserve">* Property carrying capacity </t>
  </si>
  <si>
    <t>dry sheep equivalents</t>
  </si>
  <si>
    <t>* Stock carried</t>
  </si>
  <si>
    <t xml:space="preserve"> - Ewes</t>
  </si>
  <si>
    <t xml:space="preserve"> - Wethers</t>
  </si>
  <si>
    <t xml:space="preserve"> - Cattle</t>
  </si>
  <si>
    <t xml:space="preserve"> - Total </t>
  </si>
  <si>
    <t>dry sheep equivalents (dse)</t>
  </si>
  <si>
    <t>* Livestock values</t>
  </si>
  <si>
    <t>* Capital invested in livestock =</t>
  </si>
  <si>
    <t>* Capital invested in plant     =</t>
  </si>
  <si>
    <t>* Total capital investment      =</t>
  </si>
  <si>
    <t>2. Money borrowed and equity level</t>
  </si>
  <si>
    <t>Table 1. Level of debt, equity and servicing requirements</t>
  </si>
  <si>
    <t>Means of Financing:</t>
  </si>
  <si>
    <t>Own capital provision</t>
  </si>
  <si>
    <t>Borrowed capital needed</t>
  </si>
  <si>
    <t>Equity level</t>
  </si>
  <si>
    <t>Servicing requirements:</t>
  </si>
  <si>
    <t>Desired payback period or</t>
  </si>
  <si>
    <t>repayment period on loan</t>
  </si>
  <si>
    <t>Interest rate (per annum effective)</t>
  </si>
  <si>
    <t xml:space="preserve">Annual repayment </t>
  </si>
  <si>
    <t>(reducing balance)</t>
  </si>
  <si>
    <t>3. Income indicators:</t>
  </si>
  <si>
    <t>Table 2. Calculation of annual income and costs</t>
  </si>
  <si>
    <t>Total ($)</t>
  </si>
  <si>
    <t xml:space="preserve"> ($)/ha</t>
  </si>
  <si>
    <t xml:space="preserve">GROSS INCOME </t>
  </si>
  <si>
    <t>Net Wool Sales</t>
  </si>
  <si>
    <t>Sheep Sales</t>
  </si>
  <si>
    <t>Cattle Sales</t>
  </si>
  <si>
    <t>Other Income</t>
  </si>
  <si>
    <t>TOTAL GROSS INCOME (A)</t>
  </si>
  <si>
    <t>VARIABLE COSTS</t>
  </si>
  <si>
    <t>Annual livestock purchases</t>
  </si>
  <si>
    <t>Shearing &amp; crutching</t>
  </si>
  <si>
    <t>Dips, drenches, etc...</t>
  </si>
  <si>
    <t>Casual labour &amp; other</t>
  </si>
  <si>
    <t>FIXED COSTS</t>
  </si>
  <si>
    <t>Other general expenses (total):</t>
  </si>
  <si>
    <t>- fuel and oil</t>
  </si>
  <si>
    <t>- repairs &amp; maint</t>
  </si>
  <si>
    <t>- insurance</t>
  </si>
  <si>
    <t>- motor vehicle</t>
  </si>
  <si>
    <t>- electricity &amp; gas</t>
  </si>
  <si>
    <t>- administration</t>
  </si>
  <si>
    <t>- permanent labour</t>
  </si>
  <si>
    <t>Depreciation (capital allowance)</t>
  </si>
  <si>
    <t>TOTAL COSTS (B)</t>
  </si>
  <si>
    <t>OPERATING PROFIT (A-B)</t>
  </si>
  <si>
    <t>4. Indicators of profitability</t>
  </si>
  <si>
    <t>(i) RETURN ON CAPITAL = OPERATING PROFIT - UNPAID LABOUR ALLOWANCE</t>
  </si>
  <si>
    <t>Operating profit</t>
  </si>
  <si>
    <t>less Allowance for unpaid labour</t>
  </si>
  <si>
    <t>equals Return on capital</t>
  </si>
  <si>
    <t>Percent return on capital</t>
  </si>
  <si>
    <t>(ii) RETURN ON EQUITY = RETURN ON CAPITAL - INTEREST REPAYMENTS</t>
  </si>
  <si>
    <t>Return on capital</t>
  </si>
  <si>
    <t>less Loan redemption</t>
  </si>
  <si>
    <t xml:space="preserve">equals Return on equity </t>
  </si>
  <si>
    <t>PAYBACK MODEL FOR PURCHASE OF EWES</t>
  </si>
  <si>
    <t>By W Holmes as a Dry sheep model.  Adapted for Lambs by L Dunlop Oct 2010</t>
  </si>
  <si>
    <t>Key information:</t>
  </si>
  <si>
    <t xml:space="preserve">    Year 1</t>
  </si>
  <si>
    <t xml:space="preserve">    Year 2</t>
  </si>
  <si>
    <t xml:space="preserve">    Year 3</t>
  </si>
  <si>
    <t>Wool price ($/kg clean)</t>
  </si>
  <si>
    <t>Basis factor</t>
  </si>
  <si>
    <t>Net wool price (Geasy)</t>
  </si>
  <si>
    <t>Annual wool cut (kg/head)</t>
  </si>
  <si>
    <t>Death rate</t>
  </si>
  <si>
    <t>Months until shearing</t>
  </si>
  <si>
    <t>Wool on sheep's back (months)</t>
  </si>
  <si>
    <t>Value of wool on sheep/month</t>
  </si>
  <si>
    <t>Monthly interest rate on loan</t>
  </si>
  <si>
    <t>Proportion of funds borrowed</t>
  </si>
  <si>
    <t>Price paid ($/head landed)</t>
  </si>
  <si>
    <t>Interest rate on borrowed funds</t>
  </si>
  <si>
    <t>Management year:</t>
  </si>
  <si>
    <t>Value of wool on sheep's back</t>
  </si>
  <si>
    <t>Value of wool after purchase</t>
  </si>
  <si>
    <t>Salvage value on livestock</t>
  </si>
  <si>
    <t>VALUE OF WOOL/HEAD (A)</t>
  </si>
  <si>
    <t>Lambing %</t>
  </si>
  <si>
    <t>% lambs slaughtered</t>
  </si>
  <si>
    <t>Number lambs sold per ewe</t>
  </si>
  <si>
    <t>Price/hd net freight</t>
  </si>
  <si>
    <t>Value of lambs sold</t>
  </si>
  <si>
    <t>TOTAL INCOME (A)</t>
  </si>
  <si>
    <t>VARIABLE COSTS ($/head)</t>
  </si>
  <si>
    <t xml:space="preserve"> Shearing</t>
  </si>
  <si>
    <t xml:space="preserve"> Crutching</t>
  </si>
  <si>
    <t xml:space="preserve"> Dip, drench, fly control etc.</t>
  </si>
  <si>
    <t xml:space="preserve"> Fodder, licks, supplements</t>
  </si>
  <si>
    <t xml:space="preserve"> Casual labour</t>
  </si>
  <si>
    <t xml:space="preserve"> Other</t>
  </si>
  <si>
    <t>TOTAL VARIABLE COSTS (B)</t>
  </si>
  <si>
    <t>ALLOWANCE FOR DEATHS (C)</t>
  </si>
  <si>
    <t>INTEREST ON LOAN (D)</t>
  </si>
  <si>
    <t>NET INCOME EARNED (A-B-C-D)</t>
  </si>
  <si>
    <t>NET RETURNS AFTER 1ST SHEARING</t>
  </si>
  <si>
    <t>NET RETURNS AFTER 2ND SHEARING</t>
  </si>
  <si>
    <t>NET RETURNS AFTER 3RD SHEARING</t>
  </si>
  <si>
    <t>Note 1. These figures are all on a per head basis.</t>
  </si>
  <si>
    <t xml:space="preserve">Note 2. This assumes that all profit is used to pay off the </t>
  </si>
  <si>
    <t xml:space="preserve">        loan.</t>
  </si>
  <si>
    <t xml:space="preserve">Note 3. The discount rate takes account of the fact that the </t>
  </si>
  <si>
    <t xml:space="preserve">        money spent on buying sheep could have been invested </t>
  </si>
  <si>
    <t xml:space="preserve">        at a real interest rate of 8%.</t>
  </si>
  <si>
    <t>Property Name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</si>
</sst>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164" formatCode="0_)"/>
    <numFmt numFmtId="165" formatCode="mmm\-yy_)"/>
    <numFmt numFmtId="166" formatCode="0.00_)"/>
    <numFmt numFmtId="167" formatCode="&quot;$&quot;#,##0_);\(&quot;$&quot;#,##0\)"/>
    <numFmt numFmtId="168" formatCode="0.0%"/>
    <numFmt numFmtId="169" formatCode="#,##0.00_);\(#,##0.00\)"/>
    <numFmt numFmtId="170" formatCode="dd\-mmm\-yy_)"/>
    <numFmt numFmtId="171" formatCode="&quot;$&quot;#,##0.00_);\(&quot;$&quot;#,##0.00\)"/>
    <numFmt numFmtId="172" formatCode="0.0000_)"/>
    <numFmt numFmtId="173" formatCode="0.0_)"/>
  </numFmts>
  <fonts count="8">
    <font>
      <sz val="10"/>
      <name val="Courier"/>
    </font>
    <font>
      <sz val="10"/>
      <name val="Arial"/>
    </font>
    <font>
      <sz val="10"/>
      <color indexed="12"/>
      <name val="Courier"/>
    </font>
    <font>
      <sz val="8"/>
      <name val="Courier"/>
    </font>
    <font>
      <sz val="12"/>
      <color indexed="12"/>
      <name val="CG Times (W1)"/>
      <family val="1"/>
    </font>
    <font>
      <sz val="12"/>
      <name val="CG Times (W1)"/>
      <family val="1"/>
    </font>
    <font>
      <sz val="10"/>
      <color indexed="12"/>
      <name val="Arial Rounded MT Bold"/>
      <family val="2"/>
    </font>
    <font>
      <sz val="1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Protection="1">
      <protection locked="0"/>
    </xf>
    <xf numFmtId="10" fontId="0" fillId="0" borderId="0" xfId="0" applyNumberForma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/>
    <xf numFmtId="164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Protection="1"/>
    <xf numFmtId="165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0" fillId="2" borderId="0" xfId="0" applyFill="1" applyProtection="1"/>
    <xf numFmtId="167" fontId="0" fillId="2" borderId="0" xfId="0" applyNumberFormat="1" applyFill="1" applyProtection="1"/>
    <xf numFmtId="167" fontId="0" fillId="0" borderId="0" xfId="0" applyNumberFormat="1" applyProtection="1"/>
    <xf numFmtId="10" fontId="0" fillId="0" borderId="0" xfId="0" applyNumberFormat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0" xfId="0" quotePrefix="1" applyAlignment="1" applyProtection="1">
      <alignment horizontal="left"/>
    </xf>
    <xf numFmtId="168" fontId="0" fillId="0" borderId="0" xfId="0" applyNumberFormat="1" applyProtection="1"/>
    <xf numFmtId="0" fontId="2" fillId="2" borderId="0" xfId="0" applyFont="1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6" fontId="2" fillId="2" borderId="0" xfId="0" applyNumberFormat="1" applyFont="1" applyFill="1" applyProtection="1">
      <protection locked="0"/>
    </xf>
    <xf numFmtId="0" fontId="0" fillId="2" borderId="0" xfId="0" applyFill="1"/>
    <xf numFmtId="166" fontId="0" fillId="0" borderId="0" xfId="0" applyNumberFormat="1" applyAlignment="1" applyProtection="1">
      <alignment horizontal="left"/>
    </xf>
    <xf numFmtId="166" fontId="0" fillId="0" borderId="0" xfId="0" applyNumberFormat="1" applyAlignment="1" applyProtection="1">
      <alignment horizontal="right"/>
    </xf>
    <xf numFmtId="10" fontId="2" fillId="2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169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70" fontId="0" fillId="0" borderId="0" xfId="0" applyNumberFormat="1" applyProtection="1"/>
    <xf numFmtId="171" fontId="0" fillId="0" borderId="0" xfId="0" applyNumberFormat="1" applyProtection="1"/>
    <xf numFmtId="172" fontId="0" fillId="0" borderId="0" xfId="0" applyNumberFormat="1" applyProtection="1"/>
    <xf numFmtId="166" fontId="2" fillId="0" borderId="0" xfId="0" applyNumberFormat="1" applyFon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left"/>
    </xf>
    <xf numFmtId="0" fontId="5" fillId="0" borderId="0" xfId="0" applyFont="1" applyProtection="1"/>
    <xf numFmtId="10" fontId="4" fillId="0" borderId="0" xfId="0" applyNumberFormat="1" applyFont="1" applyProtection="1"/>
    <xf numFmtId="166" fontId="4" fillId="0" borderId="0" xfId="0" applyNumberFormat="1" applyFont="1" applyAlignment="1" applyProtection="1">
      <alignment horizontal="right"/>
    </xf>
    <xf numFmtId="166" fontId="5" fillId="0" borderId="0" xfId="0" applyNumberFormat="1" applyFont="1" applyAlignment="1" applyProtection="1">
      <alignment horizontal="left"/>
    </xf>
    <xf numFmtId="171" fontId="4" fillId="3" borderId="0" xfId="0" applyNumberFormat="1" applyFont="1" applyFill="1" applyProtection="1">
      <protection locked="0"/>
    </xf>
    <xf numFmtId="171" fontId="4" fillId="3" borderId="0" xfId="0" applyNumberFormat="1" applyFont="1" applyFill="1" applyProtection="1"/>
    <xf numFmtId="168" fontId="4" fillId="3" borderId="0" xfId="0" applyNumberFormat="1" applyFont="1" applyFill="1" applyProtection="1">
      <protection locked="0"/>
    </xf>
    <xf numFmtId="168" fontId="4" fillId="4" borderId="0" xfId="0" applyNumberFormat="1" applyFont="1" applyFill="1" applyProtection="1"/>
    <xf numFmtId="171" fontId="4" fillId="0" borderId="0" xfId="0" applyNumberFormat="1" applyFont="1" applyProtection="1"/>
    <xf numFmtId="173" fontId="4" fillId="3" borderId="0" xfId="0" applyNumberFormat="1" applyFont="1" applyFill="1" applyProtection="1"/>
    <xf numFmtId="173" fontId="4" fillId="0" borderId="0" xfId="0" applyNumberFormat="1" applyFont="1" applyProtection="1"/>
    <xf numFmtId="168" fontId="4" fillId="3" borderId="0" xfId="0" applyNumberFormat="1" applyFont="1" applyFill="1" applyProtection="1"/>
    <xf numFmtId="168" fontId="4" fillId="0" borderId="0" xfId="0" applyNumberFormat="1" applyFont="1" applyProtection="1"/>
    <xf numFmtId="164" fontId="4" fillId="3" borderId="0" xfId="0" applyNumberFormat="1" applyFont="1" applyFill="1" applyProtection="1"/>
    <xf numFmtId="166" fontId="4" fillId="0" borderId="0" xfId="0" applyNumberFormat="1" applyFont="1" applyProtection="1"/>
    <xf numFmtId="10" fontId="4" fillId="3" borderId="0" xfId="0" applyNumberFormat="1" applyFont="1" applyFill="1" applyProtection="1"/>
    <xf numFmtId="166" fontId="4" fillId="3" borderId="0" xfId="0" applyNumberFormat="1" applyFont="1" applyFill="1" applyProtection="1"/>
    <xf numFmtId="9" fontId="0" fillId="0" borderId="0" xfId="2" applyFont="1"/>
    <xf numFmtId="9" fontId="4" fillId="3" borderId="0" xfId="2" applyFont="1" applyFill="1" applyProtection="1"/>
    <xf numFmtId="9" fontId="4" fillId="0" borderId="0" xfId="2" applyFont="1" applyProtection="1"/>
    <xf numFmtId="44" fontId="5" fillId="0" borderId="0" xfId="1" applyFont="1" applyProtection="1"/>
    <xf numFmtId="166" fontId="6" fillId="0" borderId="0" xfId="0" applyNumberFormat="1" applyFont="1" applyAlignment="1" applyProtection="1">
      <alignment horizontal="left"/>
      <protection locked="0"/>
    </xf>
    <xf numFmtId="0" fontId="7" fillId="0" borderId="0" xfId="0" applyFont="1"/>
    <xf numFmtId="166" fontId="7" fillId="0" borderId="0" xfId="0" applyNumberFormat="1" applyFont="1" applyAlignment="1" applyProtection="1">
      <alignment horizontal="left"/>
    </xf>
    <xf numFmtId="167" fontId="6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9" fontId="6" fillId="0" borderId="0" xfId="0" applyNumberFormat="1" applyFont="1" applyProtection="1">
      <protection locked="0"/>
    </xf>
    <xf numFmtId="10" fontId="6" fillId="0" borderId="0" xfId="0" applyNumberFormat="1" applyFont="1" applyProtection="1">
      <protection locked="0"/>
    </xf>
    <xf numFmtId="171" fontId="6" fillId="0" borderId="0" xfId="0" applyNumberFormat="1" applyFont="1" applyProtection="1">
      <protection locked="0"/>
    </xf>
    <xf numFmtId="167" fontId="7" fillId="0" borderId="0" xfId="0" applyNumberFormat="1" applyFont="1" applyProtection="1"/>
    <xf numFmtId="171" fontId="7" fillId="0" borderId="0" xfId="0" applyNumberFormat="1" applyFont="1" applyProtection="1"/>
    <xf numFmtId="10" fontId="6" fillId="0" borderId="0" xfId="0" applyNumberFormat="1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3"/>
  <sheetViews>
    <sheetView tabSelected="1" workbookViewId="0">
      <selection activeCell="B6" sqref="B6"/>
    </sheetView>
  </sheetViews>
  <sheetFormatPr defaultColWidth="10.625" defaultRowHeight="12.75"/>
  <cols>
    <col min="1" max="1" width="25.625" style="60" customWidth="1"/>
    <col min="2" max="7" width="11.625" style="60" customWidth="1"/>
    <col min="8" max="16384" width="10.625" style="60"/>
  </cols>
  <sheetData>
    <row r="1" spans="1:6">
      <c r="A1" s="59" t="s">
        <v>274</v>
      </c>
    </row>
    <row r="2" spans="1:6" ht="15.75">
      <c r="A2" s="37" t="s">
        <v>349</v>
      </c>
    </row>
    <row r="3" spans="1:6" ht="15.75">
      <c r="A3" s="37"/>
    </row>
    <row r="4" spans="1:6">
      <c r="A4" s="61" t="s">
        <v>275</v>
      </c>
      <c r="C4" s="60">
        <v>1</v>
      </c>
      <c r="D4" s="60">
        <v>1</v>
      </c>
      <c r="E4" s="60">
        <v>1</v>
      </c>
    </row>
    <row r="5" spans="1:6">
      <c r="A5" s="60" t="s">
        <v>397</v>
      </c>
    </row>
    <row r="6" spans="1:6">
      <c r="A6" s="59" t="s">
        <v>276</v>
      </c>
    </row>
    <row r="7" spans="1:6">
      <c r="A7" s="59" t="s">
        <v>30</v>
      </c>
    </row>
    <row r="8" spans="1:6">
      <c r="A8" s="59" t="s">
        <v>277</v>
      </c>
    </row>
    <row r="10" spans="1:6">
      <c r="A10" s="59" t="s">
        <v>278</v>
      </c>
      <c r="C10" s="62">
        <v>1000</v>
      </c>
      <c r="D10" s="62">
        <v>500</v>
      </c>
      <c r="E10" s="62">
        <v>250</v>
      </c>
      <c r="F10" s="59" t="s">
        <v>279</v>
      </c>
    </row>
    <row r="12" spans="1:6">
      <c r="A12" s="59" t="s">
        <v>280</v>
      </c>
      <c r="C12" s="63">
        <v>0.5</v>
      </c>
      <c r="D12" s="63">
        <v>0.25</v>
      </c>
      <c r="E12" s="63">
        <v>0.125</v>
      </c>
      <c r="F12" s="59" t="s">
        <v>281</v>
      </c>
    </row>
    <row r="14" spans="1:6">
      <c r="A14" s="59" t="s">
        <v>282</v>
      </c>
      <c r="C14" s="62">
        <f>C10*C12</f>
        <v>500</v>
      </c>
      <c r="D14" s="62">
        <f t="shared" ref="D14:E14" si="0">D10*D12</f>
        <v>125</v>
      </c>
      <c r="E14" s="62">
        <f t="shared" si="0"/>
        <v>31.25</v>
      </c>
      <c r="F14" s="59" t="s">
        <v>283</v>
      </c>
    </row>
    <row r="16" spans="1:6">
      <c r="A16" s="59" t="s">
        <v>284</v>
      </c>
      <c r="C16" s="64">
        <v>3500</v>
      </c>
      <c r="D16" s="64">
        <v>7000</v>
      </c>
      <c r="E16" s="64">
        <v>14000</v>
      </c>
      <c r="F16" s="59" t="s">
        <v>285</v>
      </c>
    </row>
    <row r="17" spans="1:6">
      <c r="D17" s="60">
        <v>0</v>
      </c>
    </row>
    <row r="18" spans="1:6">
      <c r="A18" s="59" t="s">
        <v>286</v>
      </c>
      <c r="C18" s="62">
        <f>C10*C16</f>
        <v>3500000</v>
      </c>
      <c r="D18" s="62">
        <f t="shared" ref="D18:E18" si="1">D10*D16</f>
        <v>3500000</v>
      </c>
      <c r="E18" s="62">
        <f t="shared" si="1"/>
        <v>3500000</v>
      </c>
    </row>
    <row r="20" spans="1:6">
      <c r="A20" s="59" t="s">
        <v>287</v>
      </c>
      <c r="C20" s="64">
        <f>C16/C12</f>
        <v>7000</v>
      </c>
      <c r="D20" s="64">
        <f t="shared" ref="D20:E20" si="2">D16/D12</f>
        <v>28000</v>
      </c>
      <c r="E20" s="64">
        <f t="shared" si="2"/>
        <v>112000</v>
      </c>
      <c r="F20" s="59" t="s">
        <v>288</v>
      </c>
    </row>
    <row r="22" spans="1:6">
      <c r="A22" s="59" t="s">
        <v>289</v>
      </c>
      <c r="B22" s="59" t="s">
        <v>290</v>
      </c>
      <c r="C22" s="64">
        <v>3000</v>
      </c>
      <c r="D22" s="64">
        <v>4000</v>
      </c>
      <c r="E22" s="64">
        <v>5000</v>
      </c>
    </row>
    <row r="23" spans="1:6">
      <c r="B23" s="59" t="s">
        <v>291</v>
      </c>
      <c r="C23" s="64">
        <v>0</v>
      </c>
      <c r="D23" s="64">
        <v>0</v>
      </c>
      <c r="E23" s="64">
        <v>0</v>
      </c>
    </row>
    <row r="24" spans="1:6">
      <c r="B24" s="59" t="s">
        <v>292</v>
      </c>
      <c r="C24" s="64">
        <v>0</v>
      </c>
      <c r="D24" s="64">
        <v>0</v>
      </c>
      <c r="E24" s="64">
        <v>0</v>
      </c>
    </row>
    <row r="25" spans="1:6">
      <c r="B25" s="59" t="s">
        <v>293</v>
      </c>
      <c r="C25" s="64">
        <f>C22*1.65+C23+C24*8</f>
        <v>4950</v>
      </c>
      <c r="D25" s="64">
        <f t="shared" ref="D25:E25" si="3">D22*1.65+D23+D24*8</f>
        <v>6600</v>
      </c>
      <c r="E25" s="64">
        <f t="shared" si="3"/>
        <v>8250</v>
      </c>
      <c r="F25" s="59" t="s">
        <v>294</v>
      </c>
    </row>
    <row r="27" spans="1:6">
      <c r="A27" s="59" t="s">
        <v>295</v>
      </c>
      <c r="B27" s="59" t="s">
        <v>290</v>
      </c>
      <c r="C27" s="62">
        <v>100</v>
      </c>
      <c r="D27" s="62">
        <v>80</v>
      </c>
      <c r="E27" s="62">
        <v>60</v>
      </c>
    </row>
    <row r="28" spans="1:6">
      <c r="B28" s="59" t="s">
        <v>291</v>
      </c>
      <c r="C28" s="62">
        <v>0</v>
      </c>
      <c r="D28" s="62">
        <v>0</v>
      </c>
      <c r="E28" s="62">
        <v>0</v>
      </c>
    </row>
    <row r="29" spans="1:6">
      <c r="B29" s="59" t="s">
        <v>292</v>
      </c>
      <c r="C29" s="62">
        <v>1200</v>
      </c>
      <c r="D29" s="62">
        <v>1000</v>
      </c>
      <c r="E29" s="62">
        <v>800</v>
      </c>
    </row>
    <row r="31" spans="1:6">
      <c r="A31" s="59" t="s">
        <v>296</v>
      </c>
      <c r="C31" s="62">
        <f>C27*C22+C28*C23+C29*C24</f>
        <v>300000</v>
      </c>
      <c r="D31" s="62">
        <f t="shared" ref="D31:E31" si="4">D27*D22+D28*D23+D29*D24</f>
        <v>320000</v>
      </c>
      <c r="E31" s="62">
        <f t="shared" si="4"/>
        <v>300000</v>
      </c>
    </row>
    <row r="33" spans="1:5">
      <c r="A33" s="59" t="s">
        <v>297</v>
      </c>
      <c r="C33" s="62">
        <v>0</v>
      </c>
      <c r="D33" s="62">
        <v>1</v>
      </c>
      <c r="E33" s="62">
        <v>2</v>
      </c>
    </row>
    <row r="35" spans="1:5">
      <c r="A35" s="59" t="s">
        <v>298</v>
      </c>
      <c r="C35" s="62">
        <f>C31+C18+C33</f>
        <v>3800000</v>
      </c>
      <c r="D35" s="62">
        <f t="shared" ref="D35:E35" si="5">D31+D18+D33</f>
        <v>3820001</v>
      </c>
      <c r="E35" s="62">
        <f t="shared" si="5"/>
        <v>3800002</v>
      </c>
    </row>
    <row r="38" spans="1:5">
      <c r="A38" s="59" t="s">
        <v>299</v>
      </c>
    </row>
    <row r="40" spans="1:5">
      <c r="A40" s="59" t="s">
        <v>300</v>
      </c>
    </row>
    <row r="42" spans="1:5">
      <c r="A42" s="59" t="s">
        <v>30</v>
      </c>
    </row>
    <row r="43" spans="1:5">
      <c r="A43" s="59" t="s">
        <v>301</v>
      </c>
    </row>
    <row r="44" spans="1:5">
      <c r="A44" s="59" t="s">
        <v>30</v>
      </c>
    </row>
    <row r="45" spans="1:5">
      <c r="A45" s="59" t="s">
        <v>302</v>
      </c>
      <c r="C45" s="62">
        <v>825000</v>
      </c>
      <c r="D45" s="62">
        <v>825001</v>
      </c>
      <c r="E45" s="62">
        <v>825002</v>
      </c>
    </row>
    <row r="46" spans="1:5">
      <c r="A46" s="59" t="s">
        <v>303</v>
      </c>
      <c r="C46" s="62">
        <f>C35-C45</f>
        <v>2975000</v>
      </c>
      <c r="D46" s="62">
        <f t="shared" ref="D46:E46" si="6">D35-D45</f>
        <v>2995000</v>
      </c>
      <c r="E46" s="62">
        <f t="shared" si="6"/>
        <v>2975000</v>
      </c>
    </row>
    <row r="48" spans="1:5">
      <c r="A48" s="59" t="s">
        <v>304</v>
      </c>
      <c r="C48" s="65">
        <f>C45/C35</f>
        <v>0.21710526315789475</v>
      </c>
      <c r="D48" s="65">
        <f t="shared" ref="D48:E48" si="7">D45/D35</f>
        <v>0.21596879163120639</v>
      </c>
      <c r="E48" s="65">
        <f t="shared" si="7"/>
        <v>0.21710567520753937</v>
      </c>
    </row>
    <row r="49" spans="1:5">
      <c r="A49" s="59" t="s">
        <v>30</v>
      </c>
    </row>
    <row r="50" spans="1:5">
      <c r="A50" s="59" t="s">
        <v>305</v>
      </c>
    </row>
    <row r="51" spans="1:5">
      <c r="A51" s="59" t="s">
        <v>30</v>
      </c>
    </row>
    <row r="52" spans="1:5">
      <c r="A52" s="59" t="s">
        <v>306</v>
      </c>
    </row>
    <row r="53" spans="1:5">
      <c r="A53" s="61" t="s">
        <v>307</v>
      </c>
      <c r="C53" s="64">
        <v>10</v>
      </c>
      <c r="D53" s="64">
        <v>11</v>
      </c>
      <c r="E53" s="64">
        <v>12</v>
      </c>
    </row>
    <row r="55" spans="1:5">
      <c r="A55" s="59" t="s">
        <v>308</v>
      </c>
      <c r="C55" s="66">
        <v>0.11</v>
      </c>
      <c r="D55" s="66">
        <v>0.11</v>
      </c>
      <c r="E55" s="66">
        <v>0.11</v>
      </c>
    </row>
    <row r="57" spans="1:5">
      <c r="A57" s="59" t="s">
        <v>309</v>
      </c>
    </row>
    <row r="58" spans="1:5">
      <c r="A58" s="59" t="s">
        <v>310</v>
      </c>
      <c r="C58" s="62">
        <f>PMT(INTERESTRATE,REPPERIOD,-PRINCIPLE1)</f>
        <v>505159.24561503349</v>
      </c>
      <c r="D58" s="62">
        <f>PMT(INTERESTRATE,REPPERIOD,-PRINCIPLE1)</f>
        <v>505159.24561503349</v>
      </c>
      <c r="E58" s="62">
        <f>PMT(INTERESTRATE,REPPERIOD,-PRINCIPLE1)</f>
        <v>505159.24561503349</v>
      </c>
    </row>
    <row r="59" spans="1:5">
      <c r="A59" s="59" t="s">
        <v>30</v>
      </c>
    </row>
    <row r="62" spans="1:5">
      <c r="A62" s="59" t="s">
        <v>311</v>
      </c>
    </row>
    <row r="63" spans="1:5">
      <c r="A63" s="59" t="s">
        <v>30</v>
      </c>
    </row>
    <row r="64" spans="1:5">
      <c r="A64" s="59" t="s">
        <v>312</v>
      </c>
    </row>
    <row r="66" spans="1:6">
      <c r="A66" s="59" t="s">
        <v>30</v>
      </c>
    </row>
    <row r="67" spans="1:6">
      <c r="C67" s="59" t="s">
        <v>313</v>
      </c>
      <c r="D67" s="59" t="s">
        <v>313</v>
      </c>
      <c r="E67" s="59" t="s">
        <v>313</v>
      </c>
      <c r="F67" s="59" t="s">
        <v>314</v>
      </c>
    </row>
    <row r="68" spans="1:6">
      <c r="A68" s="59" t="s">
        <v>30</v>
      </c>
    </row>
    <row r="69" spans="1:6">
      <c r="A69" s="59" t="s">
        <v>315</v>
      </c>
    </row>
    <row r="71" spans="1:6">
      <c r="A71" s="59" t="s">
        <v>316</v>
      </c>
      <c r="C71" s="64">
        <v>0</v>
      </c>
      <c r="D71" s="64">
        <v>0</v>
      </c>
      <c r="E71" s="64">
        <v>0</v>
      </c>
    </row>
    <row r="72" spans="1:6">
      <c r="A72" s="59" t="s">
        <v>317</v>
      </c>
      <c r="C72" s="64">
        <v>600000</v>
      </c>
      <c r="D72" s="64">
        <v>700000</v>
      </c>
      <c r="E72" s="64">
        <v>800000</v>
      </c>
    </row>
    <row r="73" spans="1:6">
      <c r="A73" s="59" t="s">
        <v>318</v>
      </c>
      <c r="C73" s="64">
        <v>0</v>
      </c>
      <c r="D73" s="64">
        <v>0</v>
      </c>
      <c r="E73" s="64">
        <v>0</v>
      </c>
    </row>
    <row r="74" spans="1:6">
      <c r="A74" s="59" t="s">
        <v>319</v>
      </c>
      <c r="C74" s="64">
        <v>0</v>
      </c>
      <c r="D74" s="64">
        <v>0</v>
      </c>
      <c r="E74" s="64">
        <v>0</v>
      </c>
    </row>
    <row r="75" spans="1:6">
      <c r="A75" s="59" t="s">
        <v>30</v>
      </c>
    </row>
    <row r="76" spans="1:6">
      <c r="A76" s="59" t="s">
        <v>320</v>
      </c>
      <c r="C76" s="62">
        <f>SUM(C71:C74)</f>
        <v>600000</v>
      </c>
      <c r="D76" s="62">
        <f t="shared" ref="D76:E76" si="8">SUM(D71:D74)</f>
        <v>700000</v>
      </c>
      <c r="E76" s="62">
        <f t="shared" si="8"/>
        <v>800000</v>
      </c>
      <c r="F76" s="67">
        <f>C76/$C$16</f>
        <v>171.42857142857142</v>
      </c>
    </row>
    <row r="77" spans="1:6">
      <c r="A77" s="59" t="s">
        <v>30</v>
      </c>
    </row>
    <row r="78" spans="1:6">
      <c r="A78" s="59" t="s">
        <v>321</v>
      </c>
    </row>
    <row r="80" spans="1:6">
      <c r="A80" s="59" t="s">
        <v>322</v>
      </c>
      <c r="C80" s="64">
        <v>8000</v>
      </c>
      <c r="D80" s="64">
        <v>8000</v>
      </c>
      <c r="E80" s="64">
        <v>8000</v>
      </c>
    </row>
    <row r="81" spans="1:6">
      <c r="A81" s="59" t="s">
        <v>323</v>
      </c>
      <c r="C81" s="64">
        <v>0</v>
      </c>
      <c r="D81" s="64">
        <v>0</v>
      </c>
      <c r="E81" s="64">
        <v>0</v>
      </c>
    </row>
    <row r="82" spans="1:6">
      <c r="A82" s="59" t="s">
        <v>324</v>
      </c>
      <c r="C82" s="64">
        <v>5000</v>
      </c>
      <c r="D82" s="64">
        <v>5000</v>
      </c>
      <c r="E82" s="64">
        <v>5000</v>
      </c>
    </row>
    <row r="83" spans="1:6">
      <c r="A83" s="59" t="s">
        <v>325</v>
      </c>
      <c r="C83" s="64">
        <v>10000</v>
      </c>
      <c r="D83" s="64">
        <v>10000</v>
      </c>
      <c r="E83" s="64">
        <v>10000</v>
      </c>
    </row>
    <row r="85" spans="1:6">
      <c r="A85" s="59" t="s">
        <v>326</v>
      </c>
    </row>
    <row r="87" spans="1:6">
      <c r="A87" s="59" t="s">
        <v>327</v>
      </c>
      <c r="C87" s="64">
        <v>50000</v>
      </c>
      <c r="D87" s="64">
        <v>50000</v>
      </c>
      <c r="E87" s="64">
        <v>50000</v>
      </c>
    </row>
    <row r="88" spans="1:6">
      <c r="A88" s="59" t="s">
        <v>328</v>
      </c>
    </row>
    <row r="89" spans="1:6">
      <c r="A89" s="59" t="s">
        <v>329</v>
      </c>
    </row>
    <row r="90" spans="1:6">
      <c r="A90" s="59" t="s">
        <v>330</v>
      </c>
    </row>
    <row r="91" spans="1:6">
      <c r="A91" s="59" t="s">
        <v>331</v>
      </c>
    </row>
    <row r="92" spans="1:6">
      <c r="A92" s="59" t="s">
        <v>332</v>
      </c>
    </row>
    <row r="93" spans="1:6">
      <c r="A93" s="59" t="s">
        <v>333</v>
      </c>
    </row>
    <row r="94" spans="1:6">
      <c r="A94" s="61" t="s">
        <v>334</v>
      </c>
    </row>
    <row r="95" spans="1:6">
      <c r="A95" s="59" t="s">
        <v>335</v>
      </c>
      <c r="C95" s="64">
        <v>0</v>
      </c>
      <c r="D95" s="64">
        <v>0</v>
      </c>
      <c r="E95" s="64">
        <v>0</v>
      </c>
      <c r="F95" s="63">
        <f>C95/$C$16</f>
        <v>0</v>
      </c>
    </row>
    <row r="96" spans="1:6">
      <c r="A96" s="59" t="s">
        <v>30</v>
      </c>
    </row>
    <row r="97" spans="1:6">
      <c r="A97" s="59" t="s">
        <v>336</v>
      </c>
      <c r="C97" s="62">
        <f>SUM(C80:C95)</f>
        <v>73000</v>
      </c>
      <c r="D97" s="62">
        <f t="shared" ref="D97:E97" si="9">SUM(D80:D95)</f>
        <v>73000</v>
      </c>
      <c r="E97" s="62">
        <f t="shared" si="9"/>
        <v>73000</v>
      </c>
      <c r="F97" s="63">
        <f>C97/$C$16</f>
        <v>20.857142857142858</v>
      </c>
    </row>
    <row r="98" spans="1:6">
      <c r="A98" s="59" t="s">
        <v>30</v>
      </c>
      <c r="C98" s="68"/>
      <c r="D98" s="68"/>
      <c r="E98" s="68"/>
      <c r="F98" s="69"/>
    </row>
    <row r="99" spans="1:6">
      <c r="A99" s="59" t="s">
        <v>337</v>
      </c>
      <c r="C99" s="62">
        <f>C76-C97</f>
        <v>527000</v>
      </c>
      <c r="D99" s="62">
        <f t="shared" ref="D99:E99" si="10">D76-D97</f>
        <v>627000</v>
      </c>
      <c r="E99" s="62">
        <f t="shared" si="10"/>
        <v>727000</v>
      </c>
      <c r="F99" s="63">
        <f>C99/$C$16</f>
        <v>150.57142857142858</v>
      </c>
    </row>
    <row r="100" spans="1:6">
      <c r="A100" s="59" t="s">
        <v>30</v>
      </c>
    </row>
    <row r="102" spans="1:6">
      <c r="A102" s="59" t="s">
        <v>338</v>
      </c>
    </row>
    <row r="104" spans="1:6">
      <c r="A104" s="59" t="s">
        <v>339</v>
      </c>
    </row>
    <row r="106" spans="1:6">
      <c r="A106" s="61" t="s">
        <v>340</v>
      </c>
      <c r="C106" s="68">
        <f>C99</f>
        <v>527000</v>
      </c>
      <c r="D106" s="68">
        <f t="shared" ref="D106:E106" si="11">D99</f>
        <v>627000</v>
      </c>
      <c r="E106" s="68">
        <f t="shared" si="11"/>
        <v>727000</v>
      </c>
    </row>
    <row r="107" spans="1:6">
      <c r="A107" s="59" t="s">
        <v>341</v>
      </c>
      <c r="C107" s="62">
        <v>25000</v>
      </c>
      <c r="D107" s="62">
        <v>25001</v>
      </c>
      <c r="E107" s="62">
        <v>25002</v>
      </c>
    </row>
    <row r="108" spans="1:6">
      <c r="A108" s="59" t="s">
        <v>342</v>
      </c>
      <c r="C108" s="62">
        <f>C106-C107</f>
        <v>502000</v>
      </c>
      <c r="D108" s="62">
        <f t="shared" ref="D108:E108" si="12">D106-D107</f>
        <v>601999</v>
      </c>
      <c r="E108" s="62">
        <f t="shared" si="12"/>
        <v>701998</v>
      </c>
    </row>
    <row r="109" spans="1:6">
      <c r="A109" s="59" t="s">
        <v>343</v>
      </c>
      <c r="C109" s="66">
        <f>C108/C35</f>
        <v>0.13210526315789473</v>
      </c>
      <c r="D109" s="66">
        <f t="shared" ref="D109:E109" si="13">D108/D35</f>
        <v>0.15759132000227224</v>
      </c>
      <c r="E109" s="66">
        <f t="shared" si="13"/>
        <v>0.18473621855988498</v>
      </c>
    </row>
    <row r="111" spans="1:6">
      <c r="A111" s="59" t="s">
        <v>344</v>
      </c>
    </row>
    <row r="112" spans="1:6">
      <c r="A112" s="59" t="s">
        <v>30</v>
      </c>
    </row>
    <row r="113" spans="1:5">
      <c r="A113" s="61" t="s">
        <v>345</v>
      </c>
      <c r="C113" s="68">
        <f>C108</f>
        <v>502000</v>
      </c>
      <c r="D113" s="68">
        <f t="shared" ref="D113:E113" si="14">D108</f>
        <v>601999</v>
      </c>
      <c r="E113" s="68">
        <f t="shared" si="14"/>
        <v>701998</v>
      </c>
    </row>
    <row r="114" spans="1:5">
      <c r="A114" s="59" t="s">
        <v>346</v>
      </c>
      <c r="C114" s="62">
        <f>REPAYMENT1</f>
        <v>505159.24561503349</v>
      </c>
      <c r="D114" s="62">
        <f>REPAYMENT1</f>
        <v>505159.24561503349</v>
      </c>
      <c r="E114" s="62">
        <f>REPAYMENT1</f>
        <v>505159.24561503349</v>
      </c>
    </row>
    <row r="115" spans="1:5">
      <c r="A115" s="59" t="s">
        <v>347</v>
      </c>
      <c r="C115" s="62">
        <f>C113-C114</f>
        <v>-3159.245615033491</v>
      </c>
      <c r="D115" s="62">
        <f t="shared" ref="D115:E115" si="15">D113-D114</f>
        <v>96839.754384966509</v>
      </c>
      <c r="E115" s="62">
        <f t="shared" si="15"/>
        <v>196838.75438496651</v>
      </c>
    </row>
    <row r="116" spans="1:5">
      <c r="A116" s="59" t="s">
        <v>30</v>
      </c>
      <c r="B116" s="70" t="s">
        <v>30</v>
      </c>
    </row>
    <row r="117" spans="1:5">
      <c r="A117" s="59" t="s">
        <v>30</v>
      </c>
    </row>
    <row r="129" spans="2:7">
      <c r="B129" s="62"/>
      <c r="F129" s="67"/>
      <c r="G129" s="67"/>
    </row>
    <row r="131" spans="2:7">
      <c r="B131" s="62"/>
      <c r="C131" s="66"/>
      <c r="D131" s="66"/>
      <c r="E131" s="66"/>
      <c r="F131" s="67"/>
      <c r="G131" s="67"/>
    </row>
    <row r="133" spans="2:7">
      <c r="B133" s="62"/>
      <c r="C133" s="66"/>
      <c r="D133" s="66"/>
      <c r="E133" s="66"/>
      <c r="F133" s="67"/>
      <c r="G133" s="67"/>
    </row>
  </sheetData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7"/>
  <sheetViews>
    <sheetView workbookViewId="0">
      <selection activeCell="A2" sqref="A2"/>
    </sheetView>
  </sheetViews>
  <sheetFormatPr defaultColWidth="10.625" defaultRowHeight="12"/>
  <cols>
    <col min="1" max="1" width="37.625" customWidth="1"/>
  </cols>
  <sheetData>
    <row r="1" spans="1:6" ht="15.75">
      <c r="A1" s="37" t="s">
        <v>348</v>
      </c>
      <c r="B1" s="38"/>
      <c r="C1" s="39"/>
      <c r="D1" s="38"/>
      <c r="E1" s="38"/>
      <c r="F1" s="38"/>
    </row>
    <row r="2" spans="1:6" ht="15.75">
      <c r="A2" s="37" t="s">
        <v>349</v>
      </c>
      <c r="B2" s="38"/>
      <c r="C2" s="38"/>
      <c r="D2" s="38"/>
      <c r="E2" s="38"/>
      <c r="F2" s="38"/>
    </row>
    <row r="3" spans="1:6" ht="15.75">
      <c r="A3" s="37" t="s">
        <v>30</v>
      </c>
      <c r="B3" s="37" t="s">
        <v>30</v>
      </c>
      <c r="C3" s="37" t="s">
        <v>30</v>
      </c>
      <c r="D3" s="37" t="s">
        <v>30</v>
      </c>
      <c r="E3" s="37" t="s">
        <v>30</v>
      </c>
      <c r="F3" s="38"/>
    </row>
    <row r="4" spans="1:6" ht="15.75">
      <c r="A4" s="37" t="s">
        <v>350</v>
      </c>
      <c r="B4" s="37" t="s">
        <v>351</v>
      </c>
      <c r="C4" s="40" t="s">
        <v>352</v>
      </c>
      <c r="D4" s="40" t="s">
        <v>353</v>
      </c>
      <c r="E4" s="38"/>
      <c r="F4" s="38"/>
    </row>
    <row r="5" spans="1:6" ht="15.75">
      <c r="A5" s="37" t="s">
        <v>30</v>
      </c>
      <c r="B5" s="41" t="s">
        <v>30</v>
      </c>
      <c r="C5" s="37" t="s">
        <v>30</v>
      </c>
      <c r="D5" s="41" t="s">
        <v>30</v>
      </c>
      <c r="E5" s="37" t="s">
        <v>30</v>
      </c>
      <c r="F5" s="38"/>
    </row>
    <row r="6" spans="1:6" ht="15.75">
      <c r="A6" s="37" t="s">
        <v>354</v>
      </c>
      <c r="B6" s="42">
        <v>8</v>
      </c>
      <c r="C6" s="43">
        <v>9</v>
      </c>
      <c r="D6" s="43">
        <v>8</v>
      </c>
      <c r="E6" s="38"/>
      <c r="F6" s="38"/>
    </row>
    <row r="7" spans="1:6" ht="15.75">
      <c r="A7" s="37" t="s">
        <v>355</v>
      </c>
      <c r="B7" s="44">
        <v>0.47</v>
      </c>
      <c r="C7" s="45">
        <f>B7</f>
        <v>0.47</v>
      </c>
      <c r="D7" s="45">
        <f>C7</f>
        <v>0.47</v>
      </c>
      <c r="E7" s="38"/>
      <c r="F7" s="38"/>
    </row>
    <row r="8" spans="1:6" ht="15.75">
      <c r="A8" s="37" t="s">
        <v>356</v>
      </c>
      <c r="B8" s="46">
        <f>B6*B7</f>
        <v>3.76</v>
      </c>
      <c r="C8" s="46">
        <f>C6*C7</f>
        <v>4.2299999999999995</v>
      </c>
      <c r="D8" s="46">
        <f>D6*D7</f>
        <v>3.76</v>
      </c>
      <c r="E8" s="38"/>
      <c r="F8" s="38"/>
    </row>
    <row r="9" spans="1:6" ht="15.75">
      <c r="A9" s="37" t="s">
        <v>357</v>
      </c>
      <c r="B9" s="47">
        <v>5</v>
      </c>
      <c r="C9" s="48">
        <f>B9</f>
        <v>5</v>
      </c>
      <c r="D9" s="48">
        <f>C9</f>
        <v>5</v>
      </c>
      <c r="E9" s="38"/>
      <c r="F9" s="38"/>
    </row>
    <row r="10" spans="1:6" ht="15.75">
      <c r="A10" s="37" t="s">
        <v>358</v>
      </c>
      <c r="B10" s="49">
        <v>0.02</v>
      </c>
      <c r="C10" s="50">
        <f>B10</f>
        <v>0.02</v>
      </c>
      <c r="D10" s="50">
        <f>C10</f>
        <v>0.02</v>
      </c>
      <c r="E10" s="38"/>
      <c r="F10" s="38"/>
    </row>
    <row r="11" spans="1:6" ht="15.75">
      <c r="A11" s="37" t="s">
        <v>359</v>
      </c>
      <c r="B11" s="51">
        <v>6</v>
      </c>
      <c r="C11" s="51">
        <v>12</v>
      </c>
      <c r="D11" s="51">
        <v>12</v>
      </c>
      <c r="E11" s="38"/>
      <c r="F11" s="38"/>
    </row>
    <row r="12" spans="1:6" ht="15.75">
      <c r="A12" s="37" t="s">
        <v>360</v>
      </c>
      <c r="B12" s="51">
        <v>6</v>
      </c>
      <c r="C12" s="52" t="e">
        <f>NA()</f>
        <v>#N/A</v>
      </c>
      <c r="D12" s="52" t="e">
        <f>NA()</f>
        <v>#N/A</v>
      </c>
      <c r="E12" s="38"/>
      <c r="F12" s="38"/>
    </row>
    <row r="13" spans="1:6" ht="15.75">
      <c r="A13" s="37" t="s">
        <v>361</v>
      </c>
      <c r="B13" s="46">
        <f>B8*B9/12</f>
        <v>1.5666666666666664</v>
      </c>
      <c r="C13" s="46">
        <f>C8*C9/12</f>
        <v>1.7625</v>
      </c>
      <c r="D13" s="46">
        <f>D8*D9/12</f>
        <v>1.5666666666666664</v>
      </c>
      <c r="E13" s="38"/>
      <c r="F13" s="38"/>
    </row>
    <row r="14" spans="1:6" ht="15.75">
      <c r="A14" s="37" t="s">
        <v>362</v>
      </c>
      <c r="B14" s="53">
        <v>0.02</v>
      </c>
      <c r="C14" s="53">
        <v>0.02</v>
      </c>
      <c r="D14" s="53">
        <v>0.02</v>
      </c>
      <c r="E14" s="38"/>
      <c r="F14" s="38"/>
    </row>
    <row r="15" spans="1:6" ht="15.75">
      <c r="A15" s="37" t="s">
        <v>363</v>
      </c>
      <c r="B15" s="49">
        <v>0.5</v>
      </c>
      <c r="C15" s="52" t="e">
        <f>C16</f>
        <v>#N/A</v>
      </c>
      <c r="D15" s="52" t="e">
        <f>C15</f>
        <v>#N/A</v>
      </c>
      <c r="E15" s="38"/>
      <c r="F15" s="38"/>
    </row>
    <row r="16" spans="1:6" ht="15.75">
      <c r="A16" s="37" t="s">
        <v>364</v>
      </c>
      <c r="B16" s="43">
        <v>150</v>
      </c>
      <c r="C16" s="52" t="e">
        <f>NA()</f>
        <v>#N/A</v>
      </c>
      <c r="D16" s="52" t="e">
        <f>NA()</f>
        <v>#N/A</v>
      </c>
      <c r="E16" s="38"/>
      <c r="F16" s="38"/>
    </row>
    <row r="17" spans="1:6" ht="15.75">
      <c r="A17" s="37" t="s">
        <v>365</v>
      </c>
      <c r="B17" s="49">
        <v>0.05</v>
      </c>
      <c r="C17" s="50">
        <f>B17</f>
        <v>0.05</v>
      </c>
      <c r="D17" s="50">
        <f>C17</f>
        <v>0.05</v>
      </c>
      <c r="E17" s="38"/>
      <c r="F17" s="38"/>
    </row>
    <row r="18" spans="1:6" ht="15.75">
      <c r="A18" s="37" t="s">
        <v>30</v>
      </c>
      <c r="B18" s="38"/>
      <c r="C18" s="37" t="s">
        <v>30</v>
      </c>
      <c r="D18" s="38"/>
      <c r="E18" s="37" t="s">
        <v>30</v>
      </c>
      <c r="F18" s="38"/>
    </row>
    <row r="19" spans="1:6" ht="15.75">
      <c r="A19" s="37" t="s">
        <v>366</v>
      </c>
      <c r="B19" s="37" t="s">
        <v>351</v>
      </c>
      <c r="C19" s="40" t="s">
        <v>352</v>
      </c>
      <c r="D19" s="40" t="s">
        <v>353</v>
      </c>
      <c r="E19" s="38"/>
      <c r="F19" s="38"/>
    </row>
    <row r="20" spans="1:6" ht="15.75">
      <c r="A20" s="37" t="s">
        <v>30</v>
      </c>
      <c r="B20" s="38"/>
      <c r="C20" s="37" t="s">
        <v>30</v>
      </c>
      <c r="D20" s="41" t="s">
        <v>30</v>
      </c>
      <c r="E20" s="37" t="s">
        <v>30</v>
      </c>
      <c r="F20" s="38"/>
    </row>
    <row r="21" spans="1:6" ht="15.75">
      <c r="A21" s="37" t="s">
        <v>367</v>
      </c>
      <c r="B21" s="52">
        <f>SHEEPBACK/12*B9*B8</f>
        <v>9.3999999999999986</v>
      </c>
      <c r="C21" s="52" t="e">
        <f>NA()</f>
        <v>#N/A</v>
      </c>
      <c r="D21" s="52" t="e">
        <f>NA()</f>
        <v>#N/A</v>
      </c>
      <c r="E21" s="38"/>
      <c r="F21" s="38"/>
    </row>
    <row r="22" spans="1:6" ht="15.75">
      <c r="A22" s="37" t="s">
        <v>368</v>
      </c>
      <c r="B22" s="52">
        <f>B8*B9*(WOOLSHEAR/12)</f>
        <v>9.3999999999999986</v>
      </c>
      <c r="C22" s="52">
        <f>C8*C9*(C11/12)</f>
        <v>21.15</v>
      </c>
      <c r="D22" s="52">
        <f>D8*D9*(D11/12)</f>
        <v>18.799999999999997</v>
      </c>
      <c r="E22" s="38"/>
      <c r="F22" s="38"/>
    </row>
    <row r="23" spans="1:6" ht="15.75">
      <c r="A23" s="37" t="s">
        <v>369</v>
      </c>
      <c r="B23" s="54">
        <v>0</v>
      </c>
      <c r="C23" s="54">
        <v>0</v>
      </c>
      <c r="D23" s="54">
        <v>5</v>
      </c>
      <c r="E23" s="38"/>
      <c r="F23" s="38"/>
    </row>
    <row r="24" spans="1:6" ht="15.75">
      <c r="A24" s="38"/>
      <c r="B24" s="38"/>
      <c r="C24" s="38"/>
      <c r="D24" s="38"/>
      <c r="E24" s="38"/>
      <c r="F24" s="38"/>
    </row>
    <row r="25" spans="1:6" ht="15.75">
      <c r="A25" s="37" t="s">
        <v>370</v>
      </c>
      <c r="B25" s="46">
        <f>SUM(B21:B24)</f>
        <v>18.799999999999997</v>
      </c>
      <c r="C25" s="46">
        <f>SUM(C22:C24)</f>
        <v>21.15</v>
      </c>
      <c r="D25" s="46">
        <f>SUM(D22:D24)</f>
        <v>23.799999999999997</v>
      </c>
      <c r="E25" s="38"/>
      <c r="F25" s="38"/>
    </row>
    <row r="26" spans="1:6" ht="15.75">
      <c r="A26" s="37" t="s">
        <v>371</v>
      </c>
      <c r="B26" s="55">
        <v>1.7</v>
      </c>
      <c r="C26" s="55">
        <v>1.7</v>
      </c>
      <c r="D26" s="55">
        <v>1.7</v>
      </c>
    </row>
    <row r="27" spans="1:6" ht="15.75">
      <c r="A27" s="37" t="s">
        <v>372</v>
      </c>
      <c r="B27" s="56">
        <v>0.6</v>
      </c>
      <c r="C27" s="57">
        <v>0.6</v>
      </c>
      <c r="D27" s="57">
        <v>0.6</v>
      </c>
      <c r="E27" s="38"/>
      <c r="F27" s="38"/>
    </row>
    <row r="28" spans="1:6" ht="15.75">
      <c r="A28" s="37" t="s">
        <v>373</v>
      </c>
      <c r="B28">
        <f>B26*B27</f>
        <v>1.02</v>
      </c>
      <c r="C28">
        <f>C26*C27</f>
        <v>1.02</v>
      </c>
      <c r="D28">
        <f>D26*D27</f>
        <v>1.02</v>
      </c>
    </row>
    <row r="29" spans="1:6" ht="15.75">
      <c r="A29" s="37" t="s">
        <v>374</v>
      </c>
      <c r="B29" s="46">
        <v>100</v>
      </c>
      <c r="C29" s="46">
        <v>100</v>
      </c>
      <c r="D29" s="46">
        <v>100</v>
      </c>
      <c r="E29" s="38"/>
      <c r="F29" s="38"/>
    </row>
    <row r="30" spans="1:6" ht="15.75">
      <c r="A30" s="37" t="s">
        <v>375</v>
      </c>
      <c r="B30" s="58">
        <f>B29*B28</f>
        <v>102</v>
      </c>
      <c r="C30" s="58">
        <f>C29*C28</f>
        <v>102</v>
      </c>
      <c r="D30" s="58">
        <f>D29*D28</f>
        <v>102</v>
      </c>
      <c r="E30" s="38"/>
      <c r="F30" s="38"/>
    </row>
    <row r="31" spans="1:6" ht="15.75">
      <c r="A31" s="37" t="s">
        <v>376</v>
      </c>
      <c r="B31" s="58">
        <f>B30+B25</f>
        <v>120.8</v>
      </c>
      <c r="C31" s="58">
        <f>C30+C25</f>
        <v>123.15</v>
      </c>
      <c r="D31" s="58">
        <f>D30+D25</f>
        <v>125.8</v>
      </c>
      <c r="E31" s="38"/>
      <c r="F31" s="38"/>
    </row>
    <row r="32" spans="1:6" ht="15.75">
      <c r="A32" s="37"/>
      <c r="B32" s="58"/>
      <c r="C32" s="58"/>
      <c r="D32" s="58"/>
      <c r="E32" s="38"/>
      <c r="F32" s="38"/>
    </row>
    <row r="33" spans="1:6" ht="15.75">
      <c r="A33" s="37"/>
      <c r="B33" s="58"/>
      <c r="C33" s="58"/>
      <c r="D33" s="58"/>
      <c r="E33" s="38"/>
      <c r="F33" s="38"/>
    </row>
    <row r="34" spans="1:6" ht="15.75">
      <c r="A34" s="37" t="s">
        <v>377</v>
      </c>
      <c r="B34" s="38"/>
      <c r="C34" s="38"/>
      <c r="D34" s="38"/>
      <c r="E34" s="38"/>
      <c r="F34" s="38"/>
    </row>
    <row r="35" spans="1:6" ht="15.75">
      <c r="A35" s="37" t="s">
        <v>378</v>
      </c>
      <c r="B35" s="54">
        <v>6</v>
      </c>
      <c r="C35" s="54">
        <v>6</v>
      </c>
      <c r="D35" s="54">
        <v>6</v>
      </c>
      <c r="E35" s="38"/>
      <c r="F35" s="38"/>
    </row>
    <row r="36" spans="1:6" ht="15.75">
      <c r="A36" s="37" t="s">
        <v>379</v>
      </c>
      <c r="B36" s="54">
        <v>2</v>
      </c>
      <c r="C36" s="54">
        <v>2</v>
      </c>
      <c r="D36" s="54">
        <v>2</v>
      </c>
      <c r="E36" s="38"/>
      <c r="F36" s="38"/>
    </row>
    <row r="37" spans="1:6" ht="15.75">
      <c r="A37" s="37" t="s">
        <v>380</v>
      </c>
      <c r="B37" s="54">
        <v>4</v>
      </c>
      <c r="C37" s="54">
        <v>4</v>
      </c>
      <c r="D37" s="54">
        <v>4</v>
      </c>
      <c r="E37" s="38"/>
      <c r="F37" s="38"/>
    </row>
    <row r="38" spans="1:6" ht="15.75">
      <c r="A38" s="37" t="s">
        <v>381</v>
      </c>
      <c r="B38" s="54">
        <v>6</v>
      </c>
      <c r="C38" s="54">
        <v>6</v>
      </c>
      <c r="D38" s="54">
        <v>6</v>
      </c>
      <c r="E38" s="38"/>
      <c r="F38" s="38"/>
    </row>
    <row r="39" spans="1:6" ht="15.75">
      <c r="A39" s="37" t="s">
        <v>382</v>
      </c>
      <c r="B39" s="54">
        <v>0.5</v>
      </c>
      <c r="C39" s="54">
        <v>0.5</v>
      </c>
      <c r="D39" s="54">
        <v>0.5</v>
      </c>
      <c r="E39" s="38"/>
      <c r="F39" s="38"/>
    </row>
    <row r="40" spans="1:6" ht="15.75">
      <c r="A40" s="37" t="s">
        <v>383</v>
      </c>
      <c r="B40" s="54">
        <v>2.5</v>
      </c>
      <c r="C40" s="54">
        <v>0</v>
      </c>
      <c r="D40" s="54">
        <v>2.5</v>
      </c>
      <c r="E40" s="38"/>
      <c r="F40" s="38"/>
    </row>
    <row r="41" spans="1:6" ht="15.75">
      <c r="A41" s="38"/>
      <c r="B41" s="38"/>
      <c r="C41" s="38"/>
      <c r="D41" s="38"/>
      <c r="E41" s="38"/>
      <c r="F41" s="38"/>
    </row>
    <row r="42" spans="1:6" ht="15.75">
      <c r="A42" s="37" t="s">
        <v>384</v>
      </c>
      <c r="B42" s="46">
        <f>SUM(B35:B41)</f>
        <v>21</v>
      </c>
      <c r="C42" s="46">
        <f>SUM(C35:C41)</f>
        <v>18.5</v>
      </c>
      <c r="D42" s="46">
        <f>SUM(D35:D41)</f>
        <v>21</v>
      </c>
      <c r="E42" s="38"/>
      <c r="F42" s="38"/>
    </row>
    <row r="43" spans="1:6" ht="15.75">
      <c r="A43" s="37" t="s">
        <v>385</v>
      </c>
      <c r="B43" s="46">
        <f>($B$10*WOOLSHEAR/12)*(B25-B42)</f>
        <v>-2.200000000000003E-2</v>
      </c>
      <c r="C43" s="46">
        <f>($B$10)*(C25-C42)</f>
        <v>5.2999999999999971E-2</v>
      </c>
      <c r="D43" s="46">
        <f>($B$10)*(D25-D42)</f>
        <v>5.5999999999999946E-2</v>
      </c>
      <c r="E43" s="38"/>
      <c r="F43" s="38"/>
    </row>
    <row r="44" spans="1:6" ht="15.75">
      <c r="A44" s="37" t="s">
        <v>386</v>
      </c>
      <c r="B44" s="46">
        <f>($B$16*$B$15*(1+B14)^WOOLSHEAR)-(B16*B15)</f>
        <v>9.4621814448000094</v>
      </c>
      <c r="C44" s="46">
        <f>IF(($B$16*$B$15-B46)*(1+C14)^C11-($B$16*$B$15-B46)&gt;0,($B$16*$B$15-B46)*(1+C14)^C11-($B$16*$B$15-B46),0)</f>
        <v>0</v>
      </c>
      <c r="D44" s="46">
        <f>IF(($B$16*$B$15-C46)*(1+D14)^D11-($B$16*$B$15-C46)&gt;0,($B$16*$B$15-C46)*(1+D14)^D11-($B$16*$B$15-C46),0)</f>
        <v>0</v>
      </c>
      <c r="E44" s="38"/>
      <c r="F44" s="38"/>
    </row>
    <row r="45" spans="1:6" ht="15.75">
      <c r="A45" s="37" t="s">
        <v>30</v>
      </c>
      <c r="B45" s="38"/>
      <c r="C45" s="37" t="s">
        <v>30</v>
      </c>
      <c r="D45" s="38"/>
      <c r="E45" s="37" t="s">
        <v>30</v>
      </c>
      <c r="F45" s="38"/>
    </row>
    <row r="46" spans="1:6" ht="15.75">
      <c r="A46" s="37" t="s">
        <v>387</v>
      </c>
      <c r="B46" s="46">
        <f>B31-B42-B43-B44</f>
        <v>90.359818555199993</v>
      </c>
      <c r="C46" s="46">
        <f>C31-C42-C43-C44</f>
        <v>104.59700000000001</v>
      </c>
      <c r="D46" s="46">
        <f>D31-D42-D43-D44</f>
        <v>104.744</v>
      </c>
      <c r="E46" s="38"/>
      <c r="F46" s="38"/>
    </row>
    <row r="47" spans="1:6" ht="15.75">
      <c r="A47" s="37" t="s">
        <v>30</v>
      </c>
      <c r="B47" s="38"/>
      <c r="C47" s="37" t="s">
        <v>30</v>
      </c>
      <c r="D47" s="38"/>
      <c r="E47" s="37" t="s">
        <v>30</v>
      </c>
      <c r="F47" s="38"/>
    </row>
    <row r="48" spans="1:6" ht="15.75">
      <c r="A48" s="37" t="s">
        <v>388</v>
      </c>
      <c r="B48" s="46">
        <f>B46</f>
        <v>90.359818555199993</v>
      </c>
      <c r="C48" s="38"/>
      <c r="D48" s="38"/>
      <c r="E48" s="38"/>
      <c r="F48" s="38"/>
    </row>
    <row r="49" spans="1:15" ht="15.75">
      <c r="A49" s="37" t="s">
        <v>389</v>
      </c>
      <c r="B49" s="46">
        <f>C46</f>
        <v>104.59700000000001</v>
      </c>
      <c r="C49" s="38"/>
      <c r="D49" s="38"/>
      <c r="E49" s="38"/>
      <c r="F49" s="38"/>
    </row>
    <row r="50" spans="1:15" ht="15.75">
      <c r="A50" s="37" t="s">
        <v>390</v>
      </c>
      <c r="B50" s="46">
        <f>D46</f>
        <v>104.744</v>
      </c>
      <c r="C50" s="38"/>
      <c r="D50" s="38"/>
      <c r="E50" s="38"/>
      <c r="F50" s="38"/>
    </row>
    <row r="51" spans="1:15" ht="15.75">
      <c r="A51" s="37" t="s">
        <v>30</v>
      </c>
      <c r="B51" s="41" t="s">
        <v>30</v>
      </c>
      <c r="C51" s="41" t="s">
        <v>30</v>
      </c>
      <c r="D51" s="37" t="s">
        <v>30</v>
      </c>
      <c r="E51" s="38"/>
      <c r="F51" s="38"/>
    </row>
    <row r="52" spans="1:15" ht="15.75">
      <c r="A52" s="37" t="s">
        <v>391</v>
      </c>
      <c r="B52" s="38"/>
      <c r="C52" s="38"/>
      <c r="D52" s="38"/>
      <c r="E52" s="38"/>
      <c r="F52" s="38"/>
    </row>
    <row r="53" spans="1:15" ht="15.75">
      <c r="A53" s="37" t="s">
        <v>392</v>
      </c>
      <c r="B53" s="38"/>
      <c r="C53" s="38"/>
      <c r="D53" s="38"/>
      <c r="E53" s="37" t="s">
        <v>30</v>
      </c>
      <c r="F53" s="38"/>
    </row>
    <row r="54" spans="1:15" ht="15.75">
      <c r="A54" s="37" t="s">
        <v>393</v>
      </c>
      <c r="B54" s="38"/>
      <c r="C54" s="38"/>
      <c r="D54" s="38"/>
      <c r="E54" s="38"/>
      <c r="F54" s="38"/>
    </row>
    <row r="55" spans="1:15" ht="15.75">
      <c r="A55" s="37" t="s">
        <v>394</v>
      </c>
      <c r="B55" s="38"/>
      <c r="C55" s="38"/>
      <c r="D55" s="38"/>
      <c r="E55" s="38"/>
      <c r="F55" s="38"/>
    </row>
    <row r="56" spans="1:15" ht="15.75">
      <c r="A56" s="37" t="s">
        <v>395</v>
      </c>
      <c r="B56" s="38"/>
      <c r="C56" s="38"/>
      <c r="D56" s="38"/>
      <c r="E56" s="38"/>
      <c r="F56" s="38"/>
    </row>
    <row r="57" spans="1:15" ht="15.75">
      <c r="A57" s="37" t="s">
        <v>396</v>
      </c>
      <c r="B57" s="38"/>
      <c r="C57" s="38"/>
      <c r="D57" s="38"/>
      <c r="E57" s="37" t="s">
        <v>30</v>
      </c>
      <c r="F57" s="38"/>
    </row>
    <row r="58" spans="1:15" ht="15.75">
      <c r="A58" s="38"/>
      <c r="B58" s="38"/>
      <c r="C58" s="38"/>
      <c r="D58" s="38"/>
      <c r="E58" s="38"/>
      <c r="F58" s="38"/>
    </row>
    <row r="59" spans="1:15" ht="15.75">
      <c r="A59" s="38"/>
      <c r="B59" s="38"/>
      <c r="C59" s="38"/>
      <c r="D59" s="38"/>
      <c r="E59" s="38"/>
      <c r="F59" s="38"/>
    </row>
    <row r="60" spans="1:15" ht="15.75">
      <c r="A60" s="38"/>
      <c r="B60" s="38"/>
      <c r="C60" s="38"/>
      <c r="D60" s="38"/>
      <c r="E60" s="38"/>
      <c r="F60" s="38"/>
    </row>
    <row r="61" spans="1:15" ht="15.75">
      <c r="A61" s="38"/>
      <c r="B61" s="38"/>
      <c r="C61" s="38"/>
      <c r="D61" s="38"/>
      <c r="E61" s="38"/>
      <c r="F61" s="38"/>
      <c r="O61" s="35" t="s">
        <v>239</v>
      </c>
    </row>
    <row r="62" spans="1:15" ht="15.75">
      <c r="A62" s="38"/>
      <c r="B62" s="38"/>
      <c r="C62" s="38"/>
      <c r="D62" s="38"/>
      <c r="E62" s="38"/>
      <c r="F62" s="38"/>
    </row>
    <row r="63" spans="1:15" ht="15.75">
      <c r="A63" s="38"/>
      <c r="B63" s="38"/>
      <c r="C63" s="38"/>
      <c r="D63" s="38"/>
      <c r="E63" s="38"/>
      <c r="F63" s="38"/>
    </row>
    <row r="64" spans="1:15" ht="15.75">
      <c r="A64" s="38"/>
      <c r="B64" s="38"/>
      <c r="C64" s="38"/>
      <c r="D64" s="38"/>
      <c r="E64" s="38"/>
      <c r="F64" s="38"/>
    </row>
    <row r="97" spans="3:3">
      <c r="C97" s="36" t="s">
        <v>30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F4" sqref="F4"/>
    </sheetView>
  </sheetViews>
  <sheetFormatPr defaultColWidth="9.625" defaultRowHeight="12"/>
  <sheetData>
    <row r="1" spans="1:8">
      <c r="A1" s="6" t="s">
        <v>29</v>
      </c>
    </row>
    <row r="2" spans="1:8">
      <c r="A2" s="6" t="s">
        <v>30</v>
      </c>
      <c r="C2" s="6" t="s">
        <v>31</v>
      </c>
      <c r="G2" t="s">
        <v>77</v>
      </c>
    </row>
    <row r="3" spans="1:8">
      <c r="A3" s="6" t="s">
        <v>32</v>
      </c>
    </row>
    <row r="4" spans="1:8">
      <c r="A4" s="6" t="s">
        <v>33</v>
      </c>
      <c r="D4" s="12">
        <v>38000</v>
      </c>
    </row>
    <row r="5" spans="1:8">
      <c r="A5" s="6" t="s">
        <v>34</v>
      </c>
      <c r="D5" s="3">
        <v>10</v>
      </c>
    </row>
    <row r="6" spans="1:8">
      <c r="A6" s="6" t="s">
        <v>35</v>
      </c>
      <c r="D6" s="13">
        <v>0.11</v>
      </c>
    </row>
    <row r="7" spans="1:8">
      <c r="A7" s="1" t="s">
        <v>36</v>
      </c>
      <c r="D7" s="1" t="s">
        <v>37</v>
      </c>
    </row>
    <row r="8" spans="1:8">
      <c r="A8" s="6" t="s">
        <v>38</v>
      </c>
      <c r="D8" s="12">
        <v>0</v>
      </c>
    </row>
    <row r="9" spans="1:8">
      <c r="A9" s="6" t="s">
        <v>39</v>
      </c>
      <c r="D9" s="12">
        <v>580</v>
      </c>
    </row>
    <row r="11" spans="1:8">
      <c r="A11" s="6" t="s">
        <v>40</v>
      </c>
      <c r="H11" s="6" t="s">
        <v>41</v>
      </c>
    </row>
    <row r="12" spans="1:8">
      <c r="A12" s="6" t="s">
        <v>42</v>
      </c>
    </row>
    <row r="13" spans="1:8">
      <c r="A13" s="6" t="s">
        <v>43</v>
      </c>
      <c r="G13" s="13">
        <f>D6</f>
        <v>0.11</v>
      </c>
      <c r="H13" s="3">
        <v>1</v>
      </c>
    </row>
    <row r="14" spans="1:8">
      <c r="G14" s="13"/>
    </row>
    <row r="15" spans="1:8">
      <c r="G15" s="13"/>
    </row>
    <row r="16" spans="1:8">
      <c r="A16" s="6" t="s">
        <v>44</v>
      </c>
      <c r="G16" s="13"/>
    </row>
    <row r="17" spans="1:8">
      <c r="A17" s="6" t="s">
        <v>45</v>
      </c>
      <c r="G17" s="13"/>
    </row>
    <row r="18" spans="1:8">
      <c r="A18" s="6" t="s">
        <v>46</v>
      </c>
      <c r="G18" s="13">
        <f>D8/D4</f>
        <v>0</v>
      </c>
      <c r="H18" s="3">
        <v>2</v>
      </c>
    </row>
    <row r="19" spans="1:8">
      <c r="G19" s="13"/>
    </row>
    <row r="20" spans="1:8">
      <c r="A20" s="6" t="s">
        <v>30</v>
      </c>
      <c r="G20" s="13"/>
    </row>
    <row r="21" spans="1:8">
      <c r="A21" s="6" t="s">
        <v>47</v>
      </c>
      <c r="G21" s="13"/>
    </row>
    <row r="22" spans="1:8">
      <c r="A22" s="6" t="s">
        <v>48</v>
      </c>
      <c r="G22" s="13">
        <f>G13+G18</f>
        <v>0.11</v>
      </c>
      <c r="H22" s="3">
        <v>3</v>
      </c>
    </row>
    <row r="23" spans="1:8">
      <c r="G23" s="13"/>
    </row>
    <row r="24" spans="1:8">
      <c r="G24" s="13"/>
    </row>
    <row r="25" spans="1:8">
      <c r="A25" s="6" t="s">
        <v>49</v>
      </c>
      <c r="G25" s="13"/>
    </row>
    <row r="26" spans="1:8">
      <c r="A26" s="6" t="s">
        <v>50</v>
      </c>
      <c r="G26" s="13"/>
    </row>
    <row r="27" spans="1:8">
      <c r="A27" s="6" t="s">
        <v>51</v>
      </c>
      <c r="G27" s="13">
        <v>0.1157</v>
      </c>
      <c r="H27" s="3">
        <v>4</v>
      </c>
    </row>
    <row r="28" spans="1:8">
      <c r="G28" s="13"/>
    </row>
    <row r="30" spans="1:8">
      <c r="A30" s="6" t="s">
        <v>52</v>
      </c>
      <c r="G30" s="13"/>
    </row>
    <row r="31" spans="1:8">
      <c r="A31" s="6" t="s">
        <v>53</v>
      </c>
      <c r="G31" s="13"/>
    </row>
    <row r="32" spans="1:8">
      <c r="A32" s="6" t="s">
        <v>54</v>
      </c>
      <c r="G32" s="13"/>
    </row>
    <row r="33" spans="1:8">
      <c r="G33" s="13"/>
    </row>
    <row r="34" spans="1:8">
      <c r="A34" s="6" t="s">
        <v>55</v>
      </c>
      <c r="G34" s="13">
        <f>D9/D4</f>
        <v>1.5263157894736841E-2</v>
      </c>
      <c r="H34" s="3">
        <v>5</v>
      </c>
    </row>
    <row r="36" spans="1:8">
      <c r="A36" s="6" t="s">
        <v>56</v>
      </c>
      <c r="G36" s="3">
        <f>D5</f>
        <v>10</v>
      </c>
      <c r="H36" s="3">
        <v>6</v>
      </c>
    </row>
    <row r="38" spans="1:8">
      <c r="A38" s="6" t="s">
        <v>57</v>
      </c>
      <c r="H38" s="6" t="s">
        <v>30</v>
      </c>
    </row>
    <row r="39" spans="1:8">
      <c r="A39" s="6" t="s">
        <v>58</v>
      </c>
      <c r="G39" s="13">
        <f>G27</f>
        <v>0.1157</v>
      </c>
      <c r="H39" s="3">
        <v>7</v>
      </c>
    </row>
    <row r="40" spans="1:8">
      <c r="G40" s="13"/>
    </row>
    <row r="41" spans="1:8">
      <c r="A41" s="6" t="s">
        <v>59</v>
      </c>
      <c r="G41" s="13"/>
    </row>
    <row r="42" spans="1:8">
      <c r="A42" s="6" t="s">
        <v>60</v>
      </c>
      <c r="G42" s="14">
        <f>PMT(G39,G36,-100)/100</f>
        <v>0.17388031886986335</v>
      </c>
      <c r="H42" s="3">
        <v>8</v>
      </c>
    </row>
    <row r="43" spans="1:8">
      <c r="G43" s="13"/>
    </row>
    <row r="44" spans="1:8">
      <c r="A44" s="6" t="s">
        <v>61</v>
      </c>
      <c r="G44" s="13"/>
    </row>
    <row r="45" spans="1:8">
      <c r="A45" s="6" t="s">
        <v>62</v>
      </c>
      <c r="G45" s="13">
        <f>G42*G34</f>
        <v>2.6539627616979141E-3</v>
      </c>
      <c r="H45" s="3">
        <v>9</v>
      </c>
    </row>
    <row r="46" spans="1:8">
      <c r="G46" s="13"/>
    </row>
    <row r="47" spans="1:8">
      <c r="G47" s="13"/>
    </row>
    <row r="48" spans="1:8">
      <c r="A48" s="6" t="s">
        <v>63</v>
      </c>
      <c r="G48" s="13"/>
    </row>
    <row r="49" spans="1:7">
      <c r="A49" s="6" t="s">
        <v>64</v>
      </c>
      <c r="G49" s="13"/>
    </row>
    <row r="50" spans="1:7">
      <c r="A50" s="6" t="s">
        <v>65</v>
      </c>
      <c r="G50" s="13"/>
    </row>
    <row r="51" spans="1:7">
      <c r="A51" s="6" t="s">
        <v>66</v>
      </c>
      <c r="G51" s="13"/>
    </row>
    <row r="52" spans="1:7">
      <c r="G52" s="13"/>
    </row>
    <row r="53" spans="1:7">
      <c r="A53" s="6" t="s">
        <v>67</v>
      </c>
      <c r="G53" s="13">
        <f>G27</f>
        <v>0.1157</v>
      </c>
    </row>
    <row r="54" spans="1:7">
      <c r="A54" s="6" t="s">
        <v>68</v>
      </c>
      <c r="G54" s="13">
        <f>G45</f>
        <v>2.6539627616979141E-3</v>
      </c>
    </row>
    <row r="55" spans="1:7">
      <c r="G55" s="13"/>
    </row>
    <row r="56" spans="1:7">
      <c r="A56" s="6" t="s">
        <v>69</v>
      </c>
      <c r="G56" s="13">
        <f>G53+G54</f>
        <v>0.11835396276169791</v>
      </c>
    </row>
    <row r="60" spans="1:7">
      <c r="A60" s="1" t="s">
        <v>70</v>
      </c>
    </row>
    <row r="62" spans="1:7">
      <c r="A62" s="1" t="s">
        <v>71</v>
      </c>
    </row>
    <row r="63" spans="1:7">
      <c r="A63" s="1" t="s">
        <v>72</v>
      </c>
    </row>
    <row r="64" spans="1:7">
      <c r="D64" s="1" t="s">
        <v>73</v>
      </c>
      <c r="F64" s="15">
        <v>14.75</v>
      </c>
    </row>
    <row r="65" spans="4:6">
      <c r="D65" s="1" t="s">
        <v>74</v>
      </c>
      <c r="F65" s="15">
        <v>91</v>
      </c>
    </row>
    <row r="66" spans="4:6">
      <c r="D66" s="1" t="s">
        <v>75</v>
      </c>
      <c r="F66" s="16">
        <v>500000</v>
      </c>
    </row>
    <row r="67" spans="4:6">
      <c r="F67" s="17"/>
    </row>
    <row r="68" spans="4:6">
      <c r="D68" s="1" t="s">
        <v>76</v>
      </c>
      <c r="F68" s="17">
        <f>(F66*36500)/(F64*F65+36500)</f>
        <v>482265.19300517277</v>
      </c>
    </row>
    <row r="69" spans="4:6">
      <c r="F69" s="17"/>
    </row>
    <row r="70" spans="4:6">
      <c r="D70" s="1" t="s">
        <v>23</v>
      </c>
      <c r="F70" s="17">
        <f>F66-F68</f>
        <v>17734.806994827231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I85"/>
  <sheetViews>
    <sheetView showGridLines="0" workbookViewId="0">
      <selection activeCell="H7" sqref="H7"/>
    </sheetView>
  </sheetViews>
  <sheetFormatPr defaultColWidth="9.625" defaultRowHeight="12"/>
  <cols>
    <col min="1" max="1" width="8.625" customWidth="1"/>
    <col min="2" max="2" width="10.625" customWidth="1"/>
    <col min="5" max="6" width="14.625" customWidth="1"/>
    <col min="7" max="7" width="13.625" customWidth="1"/>
    <col min="8" max="8" width="10.625" customWidth="1"/>
  </cols>
  <sheetData>
    <row r="1" spans="1:7">
      <c r="A1" s="1" t="s">
        <v>0</v>
      </c>
      <c r="G1" s="2" t="s">
        <v>1</v>
      </c>
    </row>
    <row r="3" spans="1:7">
      <c r="A3" s="1" t="s">
        <v>2</v>
      </c>
    </row>
    <row r="5" spans="1:7">
      <c r="A5" s="1" t="s">
        <v>3</v>
      </c>
    </row>
    <row r="6" spans="1:7">
      <c r="A6" s="1" t="s">
        <v>4</v>
      </c>
    </row>
    <row r="7" spans="1:7">
      <c r="A7" s="1" t="s">
        <v>5</v>
      </c>
    </row>
    <row r="9" spans="1:7">
      <c r="A9" s="1" t="s">
        <v>6</v>
      </c>
      <c r="C9" s="3">
        <v>23000</v>
      </c>
      <c r="D9" s="1" t="s">
        <v>7</v>
      </c>
      <c r="E9" s="1" t="s">
        <v>8</v>
      </c>
      <c r="G9" s="4">
        <f>IF(C11*C12&lt;=60,+G11*C12,0)</f>
        <v>0.17307316018916793</v>
      </c>
    </row>
    <row r="10" spans="1:7">
      <c r="A10" s="1" t="s">
        <v>9</v>
      </c>
      <c r="C10" s="3">
        <v>10000</v>
      </c>
      <c r="D10" s="1" t="s">
        <v>7</v>
      </c>
      <c r="G10" s="4"/>
    </row>
    <row r="11" spans="1:7">
      <c r="A11" s="1" t="s">
        <v>10</v>
      </c>
      <c r="C11" s="3">
        <v>4</v>
      </c>
      <c r="D11" s="1" t="s">
        <v>7</v>
      </c>
      <c r="E11" s="1" t="s">
        <v>11</v>
      </c>
      <c r="G11" s="4">
        <f>IF(C11*C12&lt;=60,IRR(I21:I81,0.03),0)</f>
        <v>1.4422763349097327E-2</v>
      </c>
    </row>
    <row r="12" spans="1:7">
      <c r="A12" s="1" t="s">
        <v>12</v>
      </c>
      <c r="C12" s="3">
        <v>12</v>
      </c>
      <c r="D12" s="1" t="s">
        <v>7</v>
      </c>
    </row>
    <row r="13" spans="1:7">
      <c r="A13" s="1" t="s">
        <v>13</v>
      </c>
      <c r="C13" s="3">
        <v>514</v>
      </c>
      <c r="D13" s="1" t="s">
        <v>7</v>
      </c>
    </row>
    <row r="14" spans="1:7">
      <c r="A14" s="1" t="s">
        <v>14</v>
      </c>
    </row>
    <row r="15" spans="1:7">
      <c r="B15" s="1" t="s">
        <v>15</v>
      </c>
      <c r="C15" s="3">
        <v>25</v>
      </c>
      <c r="D15" s="1" t="s">
        <v>7</v>
      </c>
    </row>
    <row r="16" spans="1:7">
      <c r="B16" s="1" t="s">
        <v>16</v>
      </c>
      <c r="C16" s="3">
        <v>5</v>
      </c>
      <c r="D16" s="1" t="s">
        <v>7</v>
      </c>
    </row>
    <row r="17" spans="1:9">
      <c r="B17" s="1" t="s">
        <v>17</v>
      </c>
      <c r="C17" s="3">
        <v>10</v>
      </c>
      <c r="D17" s="1" t="s">
        <v>7</v>
      </c>
    </row>
    <row r="18" spans="1:9">
      <c r="F18" s="5" t="s">
        <v>18</v>
      </c>
      <c r="G18" s="5" t="s">
        <v>18</v>
      </c>
      <c r="H18" s="5" t="s">
        <v>19</v>
      </c>
    </row>
    <row r="19" spans="1:9">
      <c r="A19" s="1" t="s">
        <v>20</v>
      </c>
      <c r="B19" s="5" t="s">
        <v>21</v>
      </c>
      <c r="C19" s="2" t="s">
        <v>22</v>
      </c>
      <c r="D19" s="5" t="s">
        <v>23</v>
      </c>
      <c r="E19" s="5" t="s">
        <v>28</v>
      </c>
      <c r="F19" s="5" t="s">
        <v>23</v>
      </c>
      <c r="G19" s="5" t="s">
        <v>28</v>
      </c>
      <c r="H19" s="5" t="s">
        <v>28</v>
      </c>
      <c r="I19" s="5" t="s">
        <v>24</v>
      </c>
    </row>
    <row r="20" spans="1:9">
      <c r="A20" s="1" t="s">
        <v>25</v>
      </c>
      <c r="B20" s="1" t="s">
        <v>25</v>
      </c>
      <c r="C20" s="1" t="s">
        <v>25</v>
      </c>
      <c r="D20" s="1" t="s">
        <v>25</v>
      </c>
      <c r="E20" s="1" t="s">
        <v>25</v>
      </c>
      <c r="F20" s="1" t="s">
        <v>25</v>
      </c>
      <c r="G20" s="1" t="s">
        <v>25</v>
      </c>
      <c r="H20" s="1" t="s">
        <v>25</v>
      </c>
      <c r="I20" s="1" t="s">
        <v>26</v>
      </c>
    </row>
    <row r="21" spans="1:9">
      <c r="A21" s="7">
        <v>0</v>
      </c>
      <c r="H21" s="8">
        <f>C9</f>
        <v>23000</v>
      </c>
      <c r="I21" s="7">
        <v>0</v>
      </c>
    </row>
    <row r="22" spans="1:9">
      <c r="A22" s="7">
        <v>1</v>
      </c>
      <c r="B22" s="9">
        <f>IF(A22&lt;=$C$11*$C$12,DATE($C$17,$C$16,$C$15),0)</f>
        <v>3798</v>
      </c>
      <c r="C22" s="10">
        <f t="shared" ref="C22:C53" si="0">IF(A22&lt;=$C$11*$C$12,$C$13,IF(A22=$C$11*$C$12+1,$C$10,0))</f>
        <v>514</v>
      </c>
      <c r="D22" s="10">
        <v>0</v>
      </c>
      <c r="E22" s="10">
        <f>C13</f>
        <v>514</v>
      </c>
      <c r="F22" s="10">
        <v>0</v>
      </c>
      <c r="G22" s="10">
        <f>E22</f>
        <v>514</v>
      </c>
      <c r="H22" s="8">
        <f>H21-C22</f>
        <v>22486</v>
      </c>
      <c r="I22" s="10">
        <f>H22</f>
        <v>22486</v>
      </c>
    </row>
    <row r="23" spans="1:9">
      <c r="A23" s="7">
        <v>2</v>
      </c>
      <c r="B23" s="9">
        <f t="shared" ref="B23:B54" si="1">IF(A23&lt;=($C$11*$C$12+1),B22+(365.25/$C$12),0)</f>
        <v>3828.4375</v>
      </c>
      <c r="C23" s="10">
        <f t="shared" si="0"/>
        <v>514</v>
      </c>
      <c r="D23" s="10">
        <f t="shared" ref="D23:D54" si="2">IF(C23&gt;0,+$G$11*H22,0)</f>
        <v>324.31025666780249</v>
      </c>
      <c r="E23" s="10">
        <f t="shared" ref="E23:E54" si="3">IF(C23&gt;0,+C23-D23,0)</f>
        <v>189.68974333219751</v>
      </c>
      <c r="F23" s="10">
        <f t="shared" ref="F23:F54" si="4">IF(C23&gt;0,+F22+D23,0)</f>
        <v>324.31025666780249</v>
      </c>
      <c r="G23" s="10">
        <f t="shared" ref="G23:G54" si="5">IF(C23&gt;0,+G22+E23,0)</f>
        <v>703.68974333219751</v>
      </c>
      <c r="H23" s="8">
        <f t="shared" ref="H23:H54" si="6">IF(C23&gt;0,+H22-E23,0)</f>
        <v>22296.310256667803</v>
      </c>
      <c r="I23" s="10">
        <f t="shared" ref="I23:I54" si="7">-C23</f>
        <v>-514</v>
      </c>
    </row>
    <row r="24" spans="1:9">
      <c r="A24" s="7">
        <v>3</v>
      </c>
      <c r="B24" s="9">
        <f t="shared" si="1"/>
        <v>3858.875</v>
      </c>
      <c r="C24" s="10">
        <f t="shared" si="0"/>
        <v>514</v>
      </c>
      <c r="D24" s="10">
        <f t="shared" si="2"/>
        <v>321.57440638997122</v>
      </c>
      <c r="E24" s="10">
        <f t="shared" si="3"/>
        <v>192.42559361002878</v>
      </c>
      <c r="F24" s="10">
        <f t="shared" si="4"/>
        <v>645.88466305777365</v>
      </c>
      <c r="G24" s="10">
        <f t="shared" si="5"/>
        <v>896.11533694222635</v>
      </c>
      <c r="H24" s="8">
        <f t="shared" si="6"/>
        <v>22103.884663057775</v>
      </c>
      <c r="I24" s="10">
        <f t="shared" si="7"/>
        <v>-514</v>
      </c>
    </row>
    <row r="25" spans="1:9">
      <c r="A25" s="7">
        <v>4</v>
      </c>
      <c r="B25" s="9">
        <f t="shared" si="1"/>
        <v>3889.3125</v>
      </c>
      <c r="C25" s="10">
        <f t="shared" si="0"/>
        <v>514</v>
      </c>
      <c r="D25" s="10">
        <f t="shared" si="2"/>
        <v>318.79909759102424</v>
      </c>
      <c r="E25" s="10">
        <f t="shared" si="3"/>
        <v>195.20090240897576</v>
      </c>
      <c r="F25" s="10">
        <f t="shared" si="4"/>
        <v>964.68376064879794</v>
      </c>
      <c r="G25" s="10">
        <f t="shared" si="5"/>
        <v>1091.3162393512021</v>
      </c>
      <c r="H25" s="8">
        <f t="shared" si="6"/>
        <v>21908.683760648801</v>
      </c>
      <c r="I25" s="10">
        <f t="shared" si="7"/>
        <v>-514</v>
      </c>
    </row>
    <row r="26" spans="1:9">
      <c r="A26" s="7">
        <v>5</v>
      </c>
      <c r="B26" s="9">
        <f t="shared" si="1"/>
        <v>3919.75</v>
      </c>
      <c r="C26" s="10">
        <f t="shared" si="0"/>
        <v>514</v>
      </c>
      <c r="D26" s="10">
        <f t="shared" si="2"/>
        <v>315.98376117004932</v>
      </c>
      <c r="E26" s="10">
        <f t="shared" si="3"/>
        <v>198.01623882995068</v>
      </c>
      <c r="F26" s="10">
        <f t="shared" si="4"/>
        <v>1280.6675218188473</v>
      </c>
      <c r="G26" s="10">
        <f t="shared" si="5"/>
        <v>1289.3324781811527</v>
      </c>
      <c r="H26" s="8">
        <f t="shared" si="6"/>
        <v>21710.66752181885</v>
      </c>
      <c r="I26" s="10">
        <f t="shared" si="7"/>
        <v>-514</v>
      </c>
    </row>
    <row r="27" spans="1:9">
      <c r="A27" s="7">
        <v>6</v>
      </c>
      <c r="B27" s="9">
        <f t="shared" si="1"/>
        <v>3950.1875</v>
      </c>
      <c r="C27" s="10">
        <f t="shared" si="0"/>
        <v>514</v>
      </c>
      <c r="D27" s="10">
        <f t="shared" si="2"/>
        <v>313.12781981812662</v>
      </c>
      <c r="E27" s="10">
        <f t="shared" si="3"/>
        <v>200.87218018187338</v>
      </c>
      <c r="F27" s="10">
        <f t="shared" si="4"/>
        <v>1593.7953416369739</v>
      </c>
      <c r="G27" s="10">
        <f t="shared" si="5"/>
        <v>1490.2046583630261</v>
      </c>
      <c r="H27" s="8">
        <f t="shared" si="6"/>
        <v>21509.795341636978</v>
      </c>
      <c r="I27" s="10">
        <f t="shared" si="7"/>
        <v>-514</v>
      </c>
    </row>
    <row r="28" spans="1:9">
      <c r="A28" s="7">
        <v>7</v>
      </c>
      <c r="B28" s="9">
        <f t="shared" si="1"/>
        <v>3980.625</v>
      </c>
      <c r="C28" s="10">
        <f t="shared" si="0"/>
        <v>514</v>
      </c>
      <c r="D28" s="10">
        <f t="shared" si="2"/>
        <v>310.23068789994625</v>
      </c>
      <c r="E28" s="10">
        <f t="shared" si="3"/>
        <v>203.76931210005375</v>
      </c>
      <c r="F28" s="10">
        <f t="shared" si="4"/>
        <v>1904.0260295369203</v>
      </c>
      <c r="G28" s="10">
        <f t="shared" si="5"/>
        <v>1693.9739704630797</v>
      </c>
      <c r="H28" s="8">
        <f t="shared" si="6"/>
        <v>21306.026029536926</v>
      </c>
      <c r="I28" s="10">
        <f t="shared" si="7"/>
        <v>-514</v>
      </c>
    </row>
    <row r="29" spans="1:9">
      <c r="A29" s="7">
        <v>8</v>
      </c>
      <c r="B29" s="9">
        <f t="shared" si="1"/>
        <v>4011.0625</v>
      </c>
      <c r="C29" s="10">
        <f t="shared" si="0"/>
        <v>514</v>
      </c>
      <c r="D29" s="10">
        <f t="shared" si="2"/>
        <v>307.29177133371883</v>
      </c>
      <c r="E29" s="10">
        <f t="shared" si="3"/>
        <v>206.70822866628117</v>
      </c>
      <c r="F29" s="10">
        <f t="shared" si="4"/>
        <v>2211.3178008706391</v>
      </c>
      <c r="G29" s="10">
        <f t="shared" si="5"/>
        <v>1900.6821991293609</v>
      </c>
      <c r="H29" s="8">
        <f t="shared" si="6"/>
        <v>21099.317800870645</v>
      </c>
      <c r="I29" s="10">
        <f t="shared" si="7"/>
        <v>-514</v>
      </c>
    </row>
    <row r="30" spans="1:9">
      <c r="A30" s="7">
        <v>9</v>
      </c>
      <c r="B30" s="9">
        <f t="shared" si="1"/>
        <v>4041.5</v>
      </c>
      <c r="C30" s="10">
        <f t="shared" si="0"/>
        <v>514</v>
      </c>
      <c r="D30" s="10">
        <f t="shared" si="2"/>
        <v>304.31046746935397</v>
      </c>
      <c r="E30" s="10">
        <f t="shared" si="3"/>
        <v>209.68953253064603</v>
      </c>
      <c r="F30" s="10">
        <f t="shared" si="4"/>
        <v>2515.6282683399932</v>
      </c>
      <c r="G30" s="10">
        <f t="shared" si="5"/>
        <v>2110.3717316600068</v>
      </c>
      <c r="H30" s="8">
        <f t="shared" si="6"/>
        <v>20889.628268339999</v>
      </c>
      <c r="I30" s="10">
        <f t="shared" si="7"/>
        <v>-514</v>
      </c>
    </row>
    <row r="31" spans="1:9">
      <c r="A31" s="7">
        <v>10</v>
      </c>
      <c r="B31" s="9">
        <f t="shared" si="1"/>
        <v>4071.9375</v>
      </c>
      <c r="C31" s="10">
        <f t="shared" si="0"/>
        <v>514</v>
      </c>
      <c r="D31" s="10">
        <f t="shared" si="2"/>
        <v>301.28616496488161</v>
      </c>
      <c r="E31" s="10">
        <f t="shared" si="3"/>
        <v>212.71383503511839</v>
      </c>
      <c r="F31" s="10">
        <f t="shared" si="4"/>
        <v>2816.9144333048748</v>
      </c>
      <c r="G31" s="10">
        <f t="shared" si="5"/>
        <v>2323.0855666951252</v>
      </c>
      <c r="H31" s="8">
        <f t="shared" si="6"/>
        <v>20676.914433304879</v>
      </c>
      <c r="I31" s="10">
        <f t="shared" si="7"/>
        <v>-514</v>
      </c>
    </row>
    <row r="32" spans="1:9">
      <c r="A32" s="7">
        <v>11</v>
      </c>
      <c r="B32" s="9">
        <f t="shared" si="1"/>
        <v>4102.375</v>
      </c>
      <c r="C32" s="10">
        <f t="shared" si="0"/>
        <v>514</v>
      </c>
      <c r="D32" s="10">
        <f t="shared" si="2"/>
        <v>298.21824366109115</v>
      </c>
      <c r="E32" s="10">
        <f t="shared" si="3"/>
        <v>215.78175633890885</v>
      </c>
      <c r="F32" s="10">
        <f t="shared" si="4"/>
        <v>3115.1326769659659</v>
      </c>
      <c r="G32" s="10">
        <f t="shared" si="5"/>
        <v>2538.8673230340341</v>
      </c>
      <c r="H32" s="8">
        <f t="shared" si="6"/>
        <v>20461.132676965972</v>
      </c>
      <c r="I32" s="10">
        <f t="shared" si="7"/>
        <v>-514</v>
      </c>
    </row>
    <row r="33" spans="1:9">
      <c r="A33" s="7">
        <v>12</v>
      </c>
      <c r="B33" s="9">
        <f t="shared" si="1"/>
        <v>4132.8125</v>
      </c>
      <c r="C33" s="10">
        <f t="shared" si="0"/>
        <v>514</v>
      </c>
      <c r="D33" s="10">
        <f t="shared" si="2"/>
        <v>295.1060744543625</v>
      </c>
      <c r="E33" s="10">
        <f t="shared" si="3"/>
        <v>218.8939255456375</v>
      </c>
      <c r="F33" s="10">
        <f t="shared" si="4"/>
        <v>3410.2387514203283</v>
      </c>
      <c r="G33" s="10">
        <f t="shared" si="5"/>
        <v>2757.7612485796717</v>
      </c>
      <c r="H33" s="8">
        <f t="shared" si="6"/>
        <v>20242.238751420333</v>
      </c>
      <c r="I33" s="10">
        <f t="shared" si="7"/>
        <v>-514</v>
      </c>
    </row>
    <row r="34" spans="1:9">
      <c r="A34" s="7">
        <v>13</v>
      </c>
      <c r="B34" s="9">
        <f t="shared" si="1"/>
        <v>4163.25</v>
      </c>
      <c r="C34" s="10">
        <f t="shared" si="0"/>
        <v>514</v>
      </c>
      <c r="D34" s="10">
        <f t="shared" si="2"/>
        <v>291.94901916766281</v>
      </c>
      <c r="E34" s="10">
        <f t="shared" si="3"/>
        <v>222.05098083233719</v>
      </c>
      <c r="F34" s="10">
        <f t="shared" si="4"/>
        <v>3702.1877705879911</v>
      </c>
      <c r="G34" s="10">
        <f t="shared" si="5"/>
        <v>2979.8122294120089</v>
      </c>
      <c r="H34" s="8">
        <f t="shared" si="6"/>
        <v>20020.187770587996</v>
      </c>
      <c r="I34" s="10">
        <f t="shared" si="7"/>
        <v>-514</v>
      </c>
    </row>
    <row r="35" spans="1:9">
      <c r="A35" s="7">
        <v>14</v>
      </c>
      <c r="B35" s="9">
        <f t="shared" si="1"/>
        <v>4193.6875</v>
      </c>
      <c r="C35" s="10">
        <f t="shared" si="0"/>
        <v>514</v>
      </c>
      <c r="D35" s="10">
        <f t="shared" si="2"/>
        <v>288.74643041968307</v>
      </c>
      <c r="E35" s="10">
        <f t="shared" si="3"/>
        <v>225.25356958031693</v>
      </c>
      <c r="F35" s="10">
        <f t="shared" si="4"/>
        <v>3990.9342010076743</v>
      </c>
      <c r="G35" s="10">
        <f t="shared" si="5"/>
        <v>3205.0657989923257</v>
      </c>
      <c r="H35" s="8">
        <f t="shared" si="6"/>
        <v>19794.93420100768</v>
      </c>
      <c r="I35" s="10">
        <f t="shared" si="7"/>
        <v>-514</v>
      </c>
    </row>
    <row r="36" spans="1:9">
      <c r="A36" s="7">
        <v>15</v>
      </c>
      <c r="B36" s="9">
        <f t="shared" si="1"/>
        <v>4224.125</v>
      </c>
      <c r="C36" s="10">
        <f t="shared" si="0"/>
        <v>514</v>
      </c>
      <c r="D36" s="10">
        <f t="shared" si="2"/>
        <v>285.49765149208673</v>
      </c>
      <c r="E36" s="10">
        <f t="shared" si="3"/>
        <v>228.50234850791327</v>
      </c>
      <c r="F36" s="10">
        <f t="shared" si="4"/>
        <v>4276.4318524997607</v>
      </c>
      <c r="G36" s="10">
        <f t="shared" si="5"/>
        <v>3433.5681475002389</v>
      </c>
      <c r="H36" s="8">
        <f t="shared" si="6"/>
        <v>19566.431852499765</v>
      </c>
      <c r="I36" s="10">
        <f t="shared" si="7"/>
        <v>-514</v>
      </c>
    </row>
    <row r="37" spans="1:9">
      <c r="A37" s="7">
        <v>16</v>
      </c>
      <c r="B37" s="9">
        <f t="shared" si="1"/>
        <v>4254.5625</v>
      </c>
      <c r="C37" s="10">
        <f t="shared" si="0"/>
        <v>514</v>
      </c>
      <c r="D37" s="10">
        <f t="shared" si="2"/>
        <v>282.20201619484413</v>
      </c>
      <c r="E37" s="10">
        <f t="shared" si="3"/>
        <v>231.79798380515587</v>
      </c>
      <c r="F37" s="10">
        <f t="shared" si="4"/>
        <v>4558.6338686946046</v>
      </c>
      <c r="G37" s="10">
        <f t="shared" si="5"/>
        <v>3665.3661313053949</v>
      </c>
      <c r="H37" s="8">
        <f t="shared" si="6"/>
        <v>19334.633868694611</v>
      </c>
      <c r="I37" s="10">
        <f t="shared" si="7"/>
        <v>-514</v>
      </c>
    </row>
    <row r="38" spans="1:9">
      <c r="A38" s="7">
        <v>17</v>
      </c>
      <c r="B38" s="9">
        <f t="shared" si="1"/>
        <v>4285</v>
      </c>
      <c r="C38" s="10">
        <f t="shared" si="0"/>
        <v>514</v>
      </c>
      <c r="D38" s="10">
        <f t="shared" si="2"/>
        <v>278.85884872962453</v>
      </c>
      <c r="E38" s="10">
        <f t="shared" si="3"/>
        <v>235.14115127037547</v>
      </c>
      <c r="F38" s="10">
        <f t="shared" si="4"/>
        <v>4837.4927174242293</v>
      </c>
      <c r="G38" s="10">
        <f t="shared" si="5"/>
        <v>3900.5072825757702</v>
      </c>
      <c r="H38" s="8">
        <f t="shared" si="6"/>
        <v>19099.492717424237</v>
      </c>
      <c r="I38" s="10">
        <f t="shared" si="7"/>
        <v>-514</v>
      </c>
    </row>
    <row r="39" spans="1:9">
      <c r="A39" s="7">
        <v>18</v>
      </c>
      <c r="B39" s="9">
        <f t="shared" si="1"/>
        <v>4315.4375</v>
      </c>
      <c r="C39" s="10">
        <f t="shared" si="0"/>
        <v>514</v>
      </c>
      <c r="D39" s="10">
        <f t="shared" si="2"/>
        <v>275.46746355121758</v>
      </c>
      <c r="E39" s="10">
        <f t="shared" si="3"/>
        <v>238.53253644878242</v>
      </c>
      <c r="F39" s="10">
        <f t="shared" si="4"/>
        <v>5112.9601809754467</v>
      </c>
      <c r="G39" s="10">
        <f t="shared" si="5"/>
        <v>4139.0398190245523</v>
      </c>
      <c r="H39" s="8">
        <f t="shared" si="6"/>
        <v>18860.960180975453</v>
      </c>
      <c r="I39" s="10">
        <f t="shared" si="7"/>
        <v>-514</v>
      </c>
    </row>
    <row r="40" spans="1:9">
      <c r="A40" s="7">
        <v>19</v>
      </c>
      <c r="B40" s="9">
        <f t="shared" si="1"/>
        <v>4345.875</v>
      </c>
      <c r="C40" s="10">
        <f t="shared" si="0"/>
        <v>514</v>
      </c>
      <c r="D40" s="10">
        <f t="shared" si="2"/>
        <v>272.02716522695687</v>
      </c>
      <c r="E40" s="10">
        <f t="shared" si="3"/>
        <v>241.97283477304313</v>
      </c>
      <c r="F40" s="10">
        <f t="shared" si="4"/>
        <v>5384.9873462024034</v>
      </c>
      <c r="G40" s="10">
        <f t="shared" si="5"/>
        <v>4381.0126537975957</v>
      </c>
      <c r="H40" s="8">
        <f t="shared" si="6"/>
        <v>18618.987346202412</v>
      </c>
      <c r="I40" s="10">
        <f t="shared" si="7"/>
        <v>-514</v>
      </c>
    </row>
    <row r="41" spans="1:9">
      <c r="A41" s="7">
        <v>20</v>
      </c>
      <c r="B41" s="9">
        <f t="shared" si="1"/>
        <v>4376.3125</v>
      </c>
      <c r="C41" s="10">
        <f t="shared" si="0"/>
        <v>514</v>
      </c>
      <c r="D41" s="10">
        <f t="shared" si="2"/>
        <v>268.53724829411505</v>
      </c>
      <c r="E41" s="10">
        <f t="shared" si="3"/>
        <v>245.46275170588495</v>
      </c>
      <c r="F41" s="10">
        <f t="shared" si="4"/>
        <v>5653.5245944965181</v>
      </c>
      <c r="G41" s="10">
        <f t="shared" si="5"/>
        <v>4626.4754055034809</v>
      </c>
      <c r="H41" s="8">
        <f t="shared" si="6"/>
        <v>18373.524594496528</v>
      </c>
      <c r="I41" s="10">
        <f t="shared" si="7"/>
        <v>-514</v>
      </c>
    </row>
    <row r="42" spans="1:9">
      <c r="A42" s="7">
        <v>21</v>
      </c>
      <c r="B42" s="9">
        <f t="shared" si="1"/>
        <v>4406.75</v>
      </c>
      <c r="C42" s="10">
        <f t="shared" si="0"/>
        <v>514</v>
      </c>
      <c r="D42" s="10">
        <f t="shared" si="2"/>
        <v>264.99699711524283</v>
      </c>
      <c r="E42" s="10">
        <f t="shared" si="3"/>
        <v>249.00300288475717</v>
      </c>
      <c r="F42" s="10">
        <f t="shared" si="4"/>
        <v>5918.5215916117613</v>
      </c>
      <c r="G42" s="10">
        <f t="shared" si="5"/>
        <v>4875.4784083882378</v>
      </c>
      <c r="H42" s="8">
        <f t="shared" si="6"/>
        <v>18124.52159161177</v>
      </c>
      <c r="I42" s="10">
        <f t="shared" si="7"/>
        <v>-514</v>
      </c>
    </row>
    <row r="43" spans="1:9">
      <c r="A43" s="7">
        <v>22</v>
      </c>
      <c r="B43" s="9">
        <f t="shared" si="1"/>
        <v>4437.1875</v>
      </c>
      <c r="C43" s="10">
        <f t="shared" si="0"/>
        <v>514</v>
      </c>
      <c r="D43" s="10">
        <f t="shared" si="2"/>
        <v>261.40568573142139</v>
      </c>
      <c r="E43" s="10">
        <f t="shared" si="3"/>
        <v>252.59431426857861</v>
      </c>
      <c r="F43" s="10">
        <f t="shared" si="4"/>
        <v>6179.9272773431831</v>
      </c>
      <c r="G43" s="10">
        <f t="shared" si="5"/>
        <v>5128.072722656816</v>
      </c>
      <c r="H43" s="8">
        <f t="shared" si="6"/>
        <v>17871.927277343191</v>
      </c>
      <c r="I43" s="10">
        <f t="shared" si="7"/>
        <v>-514</v>
      </c>
    </row>
    <row r="44" spans="1:9">
      <c r="A44" s="7">
        <v>23</v>
      </c>
      <c r="B44" s="9">
        <f t="shared" si="1"/>
        <v>4467.625</v>
      </c>
      <c r="C44" s="10">
        <f t="shared" si="0"/>
        <v>514</v>
      </c>
      <c r="D44" s="10">
        <f t="shared" si="2"/>
        <v>257.76257771339817</v>
      </c>
      <c r="E44" s="10">
        <f t="shared" si="3"/>
        <v>256.23742228660183</v>
      </c>
      <c r="F44" s="10">
        <f t="shared" si="4"/>
        <v>6437.6898550565811</v>
      </c>
      <c r="G44" s="10">
        <f t="shared" si="5"/>
        <v>5384.310144943418</v>
      </c>
      <c r="H44" s="8">
        <f t="shared" si="6"/>
        <v>17615.689855056589</v>
      </c>
      <c r="I44" s="10">
        <f t="shared" si="7"/>
        <v>-514</v>
      </c>
    </row>
    <row r="45" spans="1:9">
      <c r="A45" s="7">
        <v>24</v>
      </c>
      <c r="B45" s="9">
        <f t="shared" si="1"/>
        <v>4498.0625</v>
      </c>
      <c r="C45" s="10">
        <f t="shared" si="0"/>
        <v>514</v>
      </c>
      <c r="D45" s="10">
        <f t="shared" si="2"/>
        <v>254.0669260105758</v>
      </c>
      <c r="E45" s="10">
        <f t="shared" si="3"/>
        <v>259.9330739894242</v>
      </c>
      <c r="F45" s="10">
        <f t="shared" si="4"/>
        <v>6691.7567810671571</v>
      </c>
      <c r="G45" s="10">
        <f t="shared" si="5"/>
        <v>5644.243218932842</v>
      </c>
      <c r="H45" s="8">
        <f t="shared" si="6"/>
        <v>17355.756781067164</v>
      </c>
      <c r="I45" s="10">
        <f t="shared" si="7"/>
        <v>-514</v>
      </c>
    </row>
    <row r="46" spans="1:9">
      <c r="A46" s="7">
        <v>25</v>
      </c>
      <c r="B46" s="9">
        <f t="shared" si="1"/>
        <v>4528.5</v>
      </c>
      <c r="C46" s="10">
        <f t="shared" si="0"/>
        <v>514</v>
      </c>
      <c r="D46" s="10">
        <f t="shared" si="2"/>
        <v>250.3179727978229</v>
      </c>
      <c r="E46" s="10">
        <f t="shared" si="3"/>
        <v>263.6820272021771</v>
      </c>
      <c r="F46" s="10">
        <f t="shared" si="4"/>
        <v>6942.0747538649803</v>
      </c>
      <c r="G46" s="10">
        <f t="shared" si="5"/>
        <v>5907.9252461350188</v>
      </c>
      <c r="H46" s="8">
        <f t="shared" si="6"/>
        <v>17092.074753864988</v>
      </c>
      <c r="I46" s="10">
        <f t="shared" si="7"/>
        <v>-514</v>
      </c>
    </row>
    <row r="47" spans="1:9">
      <c r="A47" s="7">
        <v>26</v>
      </c>
      <c r="B47" s="9">
        <f t="shared" si="1"/>
        <v>4558.9375</v>
      </c>
      <c r="C47" s="10">
        <f t="shared" si="0"/>
        <v>514</v>
      </c>
      <c r="D47" s="10">
        <f t="shared" si="2"/>
        <v>246.51494932007569</v>
      </c>
      <c r="E47" s="10">
        <f t="shared" si="3"/>
        <v>267.48505067992431</v>
      </c>
      <c r="F47" s="10">
        <f t="shared" si="4"/>
        <v>7188.5897031850564</v>
      </c>
      <c r="G47" s="10">
        <f t="shared" si="5"/>
        <v>6175.4102968149427</v>
      </c>
      <c r="H47" s="8">
        <f t="shared" si="6"/>
        <v>16824.589703185065</v>
      </c>
      <c r="I47" s="10">
        <f t="shared" si="7"/>
        <v>-514</v>
      </c>
    </row>
    <row r="48" spans="1:9">
      <c r="A48" s="7">
        <v>27</v>
      </c>
      <c r="B48" s="9">
        <f t="shared" si="1"/>
        <v>4589.375</v>
      </c>
      <c r="C48" s="10">
        <f t="shared" si="0"/>
        <v>514</v>
      </c>
      <c r="D48" s="10">
        <f t="shared" si="2"/>
        <v>242.65707573469786</v>
      </c>
      <c r="E48" s="10">
        <f t="shared" si="3"/>
        <v>271.34292426530214</v>
      </c>
      <c r="F48" s="10">
        <f t="shared" si="4"/>
        <v>7431.2467789197544</v>
      </c>
      <c r="G48" s="10">
        <f t="shared" si="5"/>
        <v>6446.7532210802447</v>
      </c>
      <c r="H48" s="8">
        <f t="shared" si="6"/>
        <v>16553.246778919762</v>
      </c>
      <c r="I48" s="10">
        <f t="shared" si="7"/>
        <v>-514</v>
      </c>
    </row>
    <row r="49" spans="1:9">
      <c r="A49" s="7">
        <v>28</v>
      </c>
      <c r="B49" s="9">
        <f t="shared" si="1"/>
        <v>4619.8125</v>
      </c>
      <c r="C49" s="10">
        <f t="shared" si="0"/>
        <v>514</v>
      </c>
      <c r="D49" s="10">
        <f t="shared" si="2"/>
        <v>238.74356095156733</v>
      </c>
      <c r="E49" s="10">
        <f t="shared" si="3"/>
        <v>275.25643904843264</v>
      </c>
      <c r="F49" s="10">
        <f t="shared" si="4"/>
        <v>7669.9903398713213</v>
      </c>
      <c r="G49" s="10">
        <f t="shared" si="5"/>
        <v>6722.0096601286768</v>
      </c>
      <c r="H49" s="8">
        <f t="shared" si="6"/>
        <v>16277.990339871329</v>
      </c>
      <c r="I49" s="10">
        <f t="shared" si="7"/>
        <v>-514</v>
      </c>
    </row>
    <row r="50" spans="1:9">
      <c r="A50" s="7">
        <v>29</v>
      </c>
      <c r="B50" s="9">
        <f t="shared" si="1"/>
        <v>4650.25</v>
      </c>
      <c r="C50" s="10">
        <f t="shared" si="0"/>
        <v>514</v>
      </c>
      <c r="D50" s="10">
        <f t="shared" si="2"/>
        <v>234.77360247085653</v>
      </c>
      <c r="E50" s="10">
        <f t="shared" si="3"/>
        <v>279.22639752914347</v>
      </c>
      <c r="F50" s="10">
        <f t="shared" si="4"/>
        <v>7904.7639423421779</v>
      </c>
      <c r="G50" s="10">
        <f t="shared" si="5"/>
        <v>7001.2360576578203</v>
      </c>
      <c r="H50" s="8">
        <f t="shared" si="6"/>
        <v>15998.763942342186</v>
      </c>
      <c r="I50" s="10">
        <f t="shared" si="7"/>
        <v>-514</v>
      </c>
    </row>
    <row r="51" spans="1:9">
      <c r="A51" s="7">
        <v>30</v>
      </c>
      <c r="B51" s="9">
        <f t="shared" si="1"/>
        <v>4680.6875</v>
      </c>
      <c r="C51" s="10">
        <f t="shared" si="0"/>
        <v>514</v>
      </c>
      <c r="D51" s="10">
        <f t="shared" si="2"/>
        <v>230.74638621847274</v>
      </c>
      <c r="E51" s="10">
        <f t="shared" si="3"/>
        <v>283.25361378152729</v>
      </c>
      <c r="F51" s="10">
        <f t="shared" si="4"/>
        <v>8135.510328560651</v>
      </c>
      <c r="G51" s="10">
        <f t="shared" si="5"/>
        <v>7284.4896714393471</v>
      </c>
      <c r="H51" s="8">
        <f t="shared" si="6"/>
        <v>15715.510328560658</v>
      </c>
      <c r="I51" s="10">
        <f t="shared" si="7"/>
        <v>-514</v>
      </c>
    </row>
    <row r="52" spans="1:9">
      <c r="A52" s="7">
        <v>31</v>
      </c>
      <c r="B52" s="9">
        <f t="shared" si="1"/>
        <v>4711.125</v>
      </c>
      <c r="C52" s="10">
        <f t="shared" si="0"/>
        <v>514</v>
      </c>
      <c r="D52" s="10">
        <f t="shared" si="2"/>
        <v>226.66108637912515</v>
      </c>
      <c r="E52" s="10">
        <f t="shared" si="3"/>
        <v>287.33891362087485</v>
      </c>
      <c r="F52" s="10">
        <f t="shared" si="4"/>
        <v>8362.1714149397758</v>
      </c>
      <c r="G52" s="10">
        <f t="shared" si="5"/>
        <v>7571.8285850602224</v>
      </c>
      <c r="H52" s="8">
        <f t="shared" si="6"/>
        <v>15428.171414939783</v>
      </c>
      <c r="I52" s="10">
        <f t="shared" si="7"/>
        <v>-514</v>
      </c>
    </row>
    <row r="53" spans="1:9">
      <c r="A53" s="7">
        <v>32</v>
      </c>
      <c r="B53" s="9">
        <f t="shared" si="1"/>
        <v>4741.5625</v>
      </c>
      <c r="C53" s="10">
        <f t="shared" si="0"/>
        <v>514</v>
      </c>
      <c r="D53" s="10">
        <f t="shared" si="2"/>
        <v>222.51686522698455</v>
      </c>
      <c r="E53" s="10">
        <f t="shared" si="3"/>
        <v>291.48313477301542</v>
      </c>
      <c r="F53" s="10">
        <f t="shared" si="4"/>
        <v>8584.6882801667598</v>
      </c>
      <c r="G53" s="10">
        <f t="shared" si="5"/>
        <v>7863.3117198332375</v>
      </c>
      <c r="H53" s="8">
        <f t="shared" si="6"/>
        <v>15136.688280166767</v>
      </c>
      <c r="I53" s="10">
        <f t="shared" si="7"/>
        <v>-514</v>
      </c>
    </row>
    <row r="54" spans="1:9">
      <c r="A54" s="7">
        <v>33</v>
      </c>
      <c r="B54" s="9">
        <f t="shared" si="1"/>
        <v>4772</v>
      </c>
      <c r="C54" s="10">
        <f t="shared" ref="C54:C81" si="8">IF(A54&lt;=$C$11*$C$12,$C$13,IF(A54=$C$11*$C$12+1,$C$10,0))</f>
        <v>514</v>
      </c>
      <c r="D54" s="10">
        <f t="shared" si="2"/>
        <v>218.3128729539003</v>
      </c>
      <c r="E54" s="10">
        <f t="shared" si="3"/>
        <v>295.6871270460997</v>
      </c>
      <c r="F54" s="10">
        <f t="shared" si="4"/>
        <v>8803.0011531206601</v>
      </c>
      <c r="G54" s="10">
        <f t="shared" si="5"/>
        <v>8158.9988468793372</v>
      </c>
      <c r="H54" s="8">
        <f t="shared" si="6"/>
        <v>14841.001153120667</v>
      </c>
      <c r="I54" s="10">
        <f t="shared" si="7"/>
        <v>-514</v>
      </c>
    </row>
    <row r="55" spans="1:9">
      <c r="A55" s="7">
        <v>34</v>
      </c>
      <c r="B55" s="9">
        <f t="shared" ref="B55:B81" si="9">IF(A55&lt;=($C$11*$C$12+1),B54+(365.25/$C$12),0)</f>
        <v>4802.4375</v>
      </c>
      <c r="C55" s="10">
        <f t="shared" si="8"/>
        <v>514</v>
      </c>
      <c r="D55" s="10">
        <f t="shared" ref="D55:D81" si="10">IF(C55&gt;0,+$G$11*H54,0)</f>
        <v>214.04824749513995</v>
      </c>
      <c r="E55" s="10">
        <f t="shared" ref="E55:E81" si="11">IF(C55&gt;0,+C55-D55,0)</f>
        <v>299.95175250486005</v>
      </c>
      <c r="F55" s="10">
        <f t="shared" ref="F55:F81" si="12">IF(C55&gt;0,+F54+D55,0)</f>
        <v>9017.0494006158006</v>
      </c>
      <c r="G55" s="10">
        <f t="shared" ref="G55:G81" si="13">IF(C55&gt;0,+G54+E55,0)</f>
        <v>8458.9505993841976</v>
      </c>
      <c r="H55" s="8">
        <f t="shared" ref="H55:H81" si="14">IF(C55&gt;0,+H54-E55,0)</f>
        <v>14541.049400615808</v>
      </c>
      <c r="I55" s="10">
        <f t="shared" ref="I55:I81" si="15">-C55</f>
        <v>-514</v>
      </c>
    </row>
    <row r="56" spans="1:9">
      <c r="A56" s="7">
        <v>35</v>
      </c>
      <c r="B56" s="9">
        <f t="shared" si="9"/>
        <v>4832.875</v>
      </c>
      <c r="C56" s="10">
        <f t="shared" si="8"/>
        <v>514</v>
      </c>
      <c r="D56" s="10">
        <f t="shared" si="10"/>
        <v>209.72211435261534</v>
      </c>
      <c r="E56" s="10">
        <f t="shared" si="11"/>
        <v>304.27788564738466</v>
      </c>
      <c r="F56" s="10">
        <f t="shared" si="12"/>
        <v>9226.7715149684154</v>
      </c>
      <c r="G56" s="10">
        <f t="shared" si="13"/>
        <v>8763.2284850315827</v>
      </c>
      <c r="H56" s="8">
        <f t="shared" si="14"/>
        <v>14236.771514968423</v>
      </c>
      <c r="I56" s="10">
        <f t="shared" si="15"/>
        <v>-514</v>
      </c>
    </row>
    <row r="57" spans="1:9">
      <c r="A57" s="7">
        <v>36</v>
      </c>
      <c r="B57" s="9">
        <f t="shared" si="9"/>
        <v>4863.3125</v>
      </c>
      <c r="C57" s="10">
        <f t="shared" si="8"/>
        <v>514</v>
      </c>
      <c r="D57" s="10">
        <f t="shared" si="10"/>
        <v>205.33358641555941</v>
      </c>
      <c r="E57" s="10">
        <f t="shared" si="11"/>
        <v>308.66641358444059</v>
      </c>
      <c r="F57" s="10">
        <f t="shared" si="12"/>
        <v>9432.1051013839751</v>
      </c>
      <c r="G57" s="10">
        <f t="shared" si="13"/>
        <v>9071.8948986160231</v>
      </c>
      <c r="H57" s="8">
        <f t="shared" si="14"/>
        <v>13928.105101383982</v>
      </c>
      <c r="I57" s="10">
        <f t="shared" si="15"/>
        <v>-514</v>
      </c>
    </row>
    <row r="58" spans="1:9">
      <c r="A58" s="7">
        <v>37</v>
      </c>
      <c r="B58" s="9">
        <f t="shared" si="9"/>
        <v>4893.75</v>
      </c>
      <c r="C58" s="10">
        <f t="shared" si="8"/>
        <v>514</v>
      </c>
      <c r="D58" s="10">
        <f t="shared" si="10"/>
        <v>200.8817637786164</v>
      </c>
      <c r="E58" s="10">
        <f t="shared" si="11"/>
        <v>313.1182362213836</v>
      </c>
      <c r="F58" s="10">
        <f t="shared" si="12"/>
        <v>9632.9868651625911</v>
      </c>
      <c r="G58" s="10">
        <f t="shared" si="13"/>
        <v>9385.0131348374071</v>
      </c>
      <c r="H58" s="8">
        <f t="shared" si="14"/>
        <v>13614.986865162598</v>
      </c>
      <c r="I58" s="10">
        <f t="shared" si="15"/>
        <v>-514</v>
      </c>
    </row>
    <row r="59" spans="1:9">
      <c r="A59" s="7">
        <v>38</v>
      </c>
      <c r="B59" s="9">
        <f t="shared" si="9"/>
        <v>4924.1875</v>
      </c>
      <c r="C59" s="10">
        <f t="shared" si="8"/>
        <v>514</v>
      </c>
      <c r="D59" s="10">
        <f t="shared" si="10"/>
        <v>196.36573355730863</v>
      </c>
      <c r="E59" s="10">
        <f t="shared" si="11"/>
        <v>317.63426644269134</v>
      </c>
      <c r="F59" s="10">
        <f t="shared" si="12"/>
        <v>9829.3525987198991</v>
      </c>
      <c r="G59" s="10">
        <f t="shared" si="13"/>
        <v>9702.6474012800991</v>
      </c>
      <c r="H59" s="8">
        <f t="shared" si="14"/>
        <v>13297.352598719906</v>
      </c>
      <c r="I59" s="10">
        <f t="shared" si="15"/>
        <v>-514</v>
      </c>
    </row>
    <row r="60" spans="1:9">
      <c r="A60" s="7">
        <v>39</v>
      </c>
      <c r="B60" s="9">
        <f t="shared" si="9"/>
        <v>4954.625</v>
      </c>
      <c r="C60" s="10">
        <f t="shared" si="8"/>
        <v>514</v>
      </c>
      <c r="D60" s="10">
        <f t="shared" si="10"/>
        <v>191.78456970084156</v>
      </c>
      <c r="E60" s="10">
        <f t="shared" si="11"/>
        <v>322.21543029915847</v>
      </c>
      <c r="F60" s="10">
        <f t="shared" si="12"/>
        <v>10021.137168420741</v>
      </c>
      <c r="G60" s="10">
        <f t="shared" si="13"/>
        <v>10024.862831579258</v>
      </c>
      <c r="H60" s="8">
        <f t="shared" si="14"/>
        <v>12975.137168420748</v>
      </c>
      <c r="I60" s="10">
        <f t="shared" si="15"/>
        <v>-514</v>
      </c>
    </row>
    <row r="61" spans="1:9">
      <c r="A61" s="7">
        <v>40</v>
      </c>
      <c r="B61" s="9">
        <f t="shared" si="9"/>
        <v>4985.0625</v>
      </c>
      <c r="C61" s="10">
        <f t="shared" si="8"/>
        <v>514</v>
      </c>
      <c r="D61" s="10">
        <f t="shared" si="10"/>
        <v>187.13733280220924</v>
      </c>
      <c r="E61" s="10">
        <f t="shared" si="11"/>
        <v>326.86266719779076</v>
      </c>
      <c r="F61" s="10">
        <f t="shared" si="12"/>
        <v>10208.27450122295</v>
      </c>
      <c r="G61" s="10">
        <f t="shared" si="13"/>
        <v>10351.725498777048</v>
      </c>
      <c r="H61" s="8">
        <f t="shared" si="14"/>
        <v>12648.274501222957</v>
      </c>
      <c r="I61" s="10">
        <f t="shared" si="15"/>
        <v>-514</v>
      </c>
    </row>
    <row r="62" spans="1:9">
      <c r="A62" s="7">
        <v>41</v>
      </c>
      <c r="B62" s="9">
        <f t="shared" si="9"/>
        <v>5015.5</v>
      </c>
      <c r="C62" s="10">
        <f t="shared" si="8"/>
        <v>514</v>
      </c>
      <c r="D62" s="10">
        <f t="shared" si="10"/>
        <v>182.42306990556074</v>
      </c>
      <c r="E62" s="10">
        <f t="shared" si="11"/>
        <v>331.57693009443926</v>
      </c>
      <c r="F62" s="10">
        <f t="shared" si="12"/>
        <v>10390.69757112851</v>
      </c>
      <c r="G62" s="10">
        <f t="shared" si="13"/>
        <v>10683.302428871488</v>
      </c>
      <c r="H62" s="8">
        <f t="shared" si="14"/>
        <v>12316.697571128518</v>
      </c>
      <c r="I62" s="10">
        <f t="shared" si="15"/>
        <v>-514</v>
      </c>
    </row>
    <row r="63" spans="1:9">
      <c r="A63" s="7">
        <v>42</v>
      </c>
      <c r="B63" s="9">
        <f t="shared" si="9"/>
        <v>5045.9375</v>
      </c>
      <c r="C63" s="10">
        <f t="shared" si="8"/>
        <v>514</v>
      </c>
      <c r="D63" s="10">
        <f t="shared" si="10"/>
        <v>177.64081431078844</v>
      </c>
      <c r="E63" s="10">
        <f t="shared" si="11"/>
        <v>336.35918568921159</v>
      </c>
      <c r="F63" s="10">
        <f t="shared" si="12"/>
        <v>10568.3383854393</v>
      </c>
      <c r="G63" s="10">
        <f t="shared" si="13"/>
        <v>11019.661614560699</v>
      </c>
      <c r="H63" s="8">
        <f t="shared" si="14"/>
        <v>11980.338385439307</v>
      </c>
      <c r="I63" s="10">
        <f t="shared" si="15"/>
        <v>-514</v>
      </c>
    </row>
    <row r="64" spans="1:9">
      <c r="A64" s="7">
        <v>43</v>
      </c>
      <c r="B64" s="9">
        <f t="shared" si="9"/>
        <v>5076.375</v>
      </c>
      <c r="C64" s="10">
        <f t="shared" si="8"/>
        <v>514</v>
      </c>
      <c r="D64" s="10">
        <f t="shared" si="10"/>
        <v>172.78958537529789</v>
      </c>
      <c r="E64" s="10">
        <f t="shared" si="11"/>
        <v>341.21041462470214</v>
      </c>
      <c r="F64" s="10">
        <f t="shared" si="12"/>
        <v>10741.127970814598</v>
      </c>
      <c r="G64" s="10">
        <f t="shared" si="13"/>
        <v>11360.872029185401</v>
      </c>
      <c r="H64" s="8">
        <f t="shared" si="14"/>
        <v>11639.127970814605</v>
      </c>
      <c r="I64" s="10">
        <f t="shared" si="15"/>
        <v>-514</v>
      </c>
    </row>
    <row r="65" spans="1:9">
      <c r="A65" s="7">
        <v>44</v>
      </c>
      <c r="B65" s="9">
        <f t="shared" si="9"/>
        <v>5106.8125</v>
      </c>
      <c r="C65" s="10">
        <f t="shared" si="8"/>
        <v>514</v>
      </c>
      <c r="D65" s="10">
        <f t="shared" si="10"/>
        <v>167.86838831291843</v>
      </c>
      <c r="E65" s="10">
        <f t="shared" si="11"/>
        <v>346.13161168708154</v>
      </c>
      <c r="F65" s="10">
        <f t="shared" si="12"/>
        <v>10908.996359127515</v>
      </c>
      <c r="G65" s="10">
        <f t="shared" si="13"/>
        <v>11707.003640872483</v>
      </c>
      <c r="H65" s="8">
        <f t="shared" si="14"/>
        <v>11292.996359127523</v>
      </c>
      <c r="I65" s="10">
        <f t="shared" si="15"/>
        <v>-514</v>
      </c>
    </row>
    <row r="66" spans="1:9">
      <c r="A66" s="7">
        <v>45</v>
      </c>
      <c r="B66" s="9">
        <f t="shared" si="9"/>
        <v>5137.25</v>
      </c>
      <c r="C66" s="10">
        <f t="shared" si="8"/>
        <v>514</v>
      </c>
      <c r="D66" s="10">
        <f t="shared" si="10"/>
        <v>162.87621398991399</v>
      </c>
      <c r="E66" s="10">
        <f t="shared" si="11"/>
        <v>351.12378601008601</v>
      </c>
      <c r="F66" s="10">
        <f t="shared" si="12"/>
        <v>11071.872573117429</v>
      </c>
      <c r="G66" s="10">
        <f t="shared" si="13"/>
        <v>12058.127426882569</v>
      </c>
      <c r="H66" s="8">
        <f t="shared" si="14"/>
        <v>10941.872573117436</v>
      </c>
      <c r="I66" s="10">
        <f t="shared" si="15"/>
        <v>-514</v>
      </c>
    </row>
    <row r="67" spans="1:9">
      <c r="A67" s="7">
        <v>46</v>
      </c>
      <c r="B67" s="9">
        <f t="shared" si="9"/>
        <v>5167.6875</v>
      </c>
      <c r="C67" s="10">
        <f t="shared" si="8"/>
        <v>514</v>
      </c>
      <c r="D67" s="10">
        <f t="shared" si="10"/>
        <v>157.81203871805144</v>
      </c>
      <c r="E67" s="10">
        <f t="shared" si="11"/>
        <v>356.18796128194856</v>
      </c>
      <c r="F67" s="10">
        <f t="shared" si="12"/>
        <v>11229.684611835481</v>
      </c>
      <c r="G67" s="10">
        <f t="shared" si="13"/>
        <v>12414.315388164518</v>
      </c>
      <c r="H67" s="8">
        <f t="shared" si="14"/>
        <v>10585.684611835488</v>
      </c>
      <c r="I67" s="10">
        <f t="shared" si="15"/>
        <v>-514</v>
      </c>
    </row>
    <row r="68" spans="1:9">
      <c r="A68" s="7">
        <v>47</v>
      </c>
      <c r="B68" s="9">
        <f t="shared" si="9"/>
        <v>5198.125</v>
      </c>
      <c r="C68" s="10">
        <f t="shared" si="8"/>
        <v>514</v>
      </c>
      <c r="D68" s="10">
        <f t="shared" si="10"/>
        <v>152.67482404468444</v>
      </c>
      <c r="E68" s="10">
        <f t="shared" si="11"/>
        <v>361.32517595531556</v>
      </c>
      <c r="F68" s="10">
        <f t="shared" si="12"/>
        <v>11382.359435880166</v>
      </c>
      <c r="G68" s="10">
        <f t="shared" si="13"/>
        <v>12775.640564119833</v>
      </c>
      <c r="H68" s="8">
        <f t="shared" si="14"/>
        <v>10224.359435880173</v>
      </c>
      <c r="I68" s="10">
        <f t="shared" si="15"/>
        <v>-514</v>
      </c>
    </row>
    <row r="69" spans="1:9">
      <c r="A69" s="7">
        <v>48</v>
      </c>
      <c r="B69" s="9">
        <f t="shared" si="9"/>
        <v>5228.5625</v>
      </c>
      <c r="C69" s="10">
        <f t="shared" si="8"/>
        <v>514</v>
      </c>
      <c r="D69" s="10">
        <f t="shared" si="10"/>
        <v>147.46351653980997</v>
      </c>
      <c r="E69" s="10">
        <f t="shared" si="11"/>
        <v>366.53648346019003</v>
      </c>
      <c r="F69" s="10">
        <f t="shared" si="12"/>
        <v>11529.822952419976</v>
      </c>
      <c r="G69" s="10">
        <f t="shared" si="13"/>
        <v>13142.177047580022</v>
      </c>
      <c r="H69" s="8">
        <f t="shared" si="14"/>
        <v>9857.8229524199833</v>
      </c>
      <c r="I69" s="10">
        <f t="shared" si="15"/>
        <v>-514</v>
      </c>
    </row>
    <row r="70" spans="1:9">
      <c r="A70" s="7">
        <v>49</v>
      </c>
      <c r="B70" s="9">
        <f t="shared" si="9"/>
        <v>5259</v>
      </c>
      <c r="C70" s="10">
        <f t="shared" si="8"/>
        <v>10000</v>
      </c>
      <c r="D70" s="10">
        <f t="shared" si="10"/>
        <v>142.17704758005334</v>
      </c>
      <c r="E70" s="10">
        <f t="shared" si="11"/>
        <v>9857.8229524199469</v>
      </c>
      <c r="F70" s="10">
        <f t="shared" si="12"/>
        <v>11672.000000000029</v>
      </c>
      <c r="G70" s="10">
        <f t="shared" si="13"/>
        <v>22999.999999999971</v>
      </c>
      <c r="H70" s="8">
        <f t="shared" si="14"/>
        <v>3.637978807091713E-11</v>
      </c>
      <c r="I70" s="10">
        <f t="shared" si="15"/>
        <v>-10000</v>
      </c>
    </row>
    <row r="71" spans="1:9">
      <c r="A71" s="7">
        <v>50</v>
      </c>
      <c r="B71" s="9">
        <f t="shared" si="9"/>
        <v>0</v>
      </c>
      <c r="C71" s="10">
        <f t="shared" si="8"/>
        <v>0</v>
      </c>
      <c r="D71" s="10">
        <f t="shared" si="10"/>
        <v>0</v>
      </c>
      <c r="E71" s="10">
        <f t="shared" si="11"/>
        <v>0</v>
      </c>
      <c r="F71" s="10">
        <f t="shared" si="12"/>
        <v>0</v>
      </c>
      <c r="G71" s="10">
        <f t="shared" si="13"/>
        <v>0</v>
      </c>
      <c r="H71" s="8">
        <f t="shared" si="14"/>
        <v>0</v>
      </c>
      <c r="I71" s="10">
        <f t="shared" si="15"/>
        <v>0</v>
      </c>
    </row>
    <row r="72" spans="1:9">
      <c r="A72" s="7">
        <v>51</v>
      </c>
      <c r="B72" s="9">
        <f t="shared" si="9"/>
        <v>0</v>
      </c>
      <c r="C72" s="10">
        <f t="shared" si="8"/>
        <v>0</v>
      </c>
      <c r="D72" s="10">
        <f t="shared" si="10"/>
        <v>0</v>
      </c>
      <c r="E72" s="10">
        <f t="shared" si="11"/>
        <v>0</v>
      </c>
      <c r="F72" s="10">
        <f t="shared" si="12"/>
        <v>0</v>
      </c>
      <c r="G72" s="10">
        <f t="shared" si="13"/>
        <v>0</v>
      </c>
      <c r="H72" s="8">
        <f t="shared" si="14"/>
        <v>0</v>
      </c>
      <c r="I72" s="10">
        <f t="shared" si="15"/>
        <v>0</v>
      </c>
    </row>
    <row r="73" spans="1:9">
      <c r="A73" s="7">
        <v>52</v>
      </c>
      <c r="B73" s="9">
        <f t="shared" si="9"/>
        <v>0</v>
      </c>
      <c r="C73" s="10">
        <f t="shared" si="8"/>
        <v>0</v>
      </c>
      <c r="D73" s="10">
        <f t="shared" si="10"/>
        <v>0</v>
      </c>
      <c r="E73" s="10">
        <f t="shared" si="11"/>
        <v>0</v>
      </c>
      <c r="F73" s="10">
        <f t="shared" si="12"/>
        <v>0</v>
      </c>
      <c r="G73" s="10">
        <f t="shared" si="13"/>
        <v>0</v>
      </c>
      <c r="H73" s="8">
        <f t="shared" si="14"/>
        <v>0</v>
      </c>
      <c r="I73" s="10">
        <f t="shared" si="15"/>
        <v>0</v>
      </c>
    </row>
    <row r="74" spans="1:9">
      <c r="A74" s="7">
        <v>53</v>
      </c>
      <c r="B74" s="9">
        <f t="shared" si="9"/>
        <v>0</v>
      </c>
      <c r="C74" s="10">
        <f t="shared" si="8"/>
        <v>0</v>
      </c>
      <c r="D74" s="10">
        <f t="shared" si="10"/>
        <v>0</v>
      </c>
      <c r="E74" s="10">
        <f t="shared" si="11"/>
        <v>0</v>
      </c>
      <c r="F74" s="10">
        <f t="shared" si="12"/>
        <v>0</v>
      </c>
      <c r="G74" s="10">
        <f t="shared" si="13"/>
        <v>0</v>
      </c>
      <c r="H74" s="8">
        <f t="shared" si="14"/>
        <v>0</v>
      </c>
      <c r="I74" s="10">
        <f t="shared" si="15"/>
        <v>0</v>
      </c>
    </row>
    <row r="75" spans="1:9">
      <c r="A75" s="7">
        <v>54</v>
      </c>
      <c r="B75" s="9">
        <f t="shared" si="9"/>
        <v>0</v>
      </c>
      <c r="C75" s="10">
        <f t="shared" si="8"/>
        <v>0</v>
      </c>
      <c r="D75" s="10">
        <f t="shared" si="10"/>
        <v>0</v>
      </c>
      <c r="E75" s="10">
        <f t="shared" si="11"/>
        <v>0</v>
      </c>
      <c r="F75" s="10">
        <f t="shared" si="12"/>
        <v>0</v>
      </c>
      <c r="G75" s="10">
        <f t="shared" si="13"/>
        <v>0</v>
      </c>
      <c r="H75" s="8">
        <f t="shared" si="14"/>
        <v>0</v>
      </c>
      <c r="I75" s="10">
        <f t="shared" si="15"/>
        <v>0</v>
      </c>
    </row>
    <row r="76" spans="1:9">
      <c r="A76" s="7">
        <v>55</v>
      </c>
      <c r="B76" s="9">
        <f t="shared" si="9"/>
        <v>0</v>
      </c>
      <c r="C76" s="10">
        <f t="shared" si="8"/>
        <v>0</v>
      </c>
      <c r="D76" s="10">
        <f t="shared" si="10"/>
        <v>0</v>
      </c>
      <c r="E76" s="10">
        <f t="shared" si="11"/>
        <v>0</v>
      </c>
      <c r="F76" s="10">
        <f t="shared" si="12"/>
        <v>0</v>
      </c>
      <c r="G76" s="10">
        <f t="shared" si="13"/>
        <v>0</v>
      </c>
      <c r="H76" s="8">
        <f t="shared" si="14"/>
        <v>0</v>
      </c>
      <c r="I76" s="10">
        <f t="shared" si="15"/>
        <v>0</v>
      </c>
    </row>
    <row r="77" spans="1:9">
      <c r="A77" s="7">
        <v>56</v>
      </c>
      <c r="B77" s="9">
        <f t="shared" si="9"/>
        <v>0</v>
      </c>
      <c r="C77" s="10">
        <f t="shared" si="8"/>
        <v>0</v>
      </c>
      <c r="D77" s="10">
        <f t="shared" si="10"/>
        <v>0</v>
      </c>
      <c r="E77" s="10">
        <f t="shared" si="11"/>
        <v>0</v>
      </c>
      <c r="F77" s="10">
        <f t="shared" si="12"/>
        <v>0</v>
      </c>
      <c r="G77" s="10">
        <f t="shared" si="13"/>
        <v>0</v>
      </c>
      <c r="H77" s="8">
        <f t="shared" si="14"/>
        <v>0</v>
      </c>
      <c r="I77" s="10">
        <f t="shared" si="15"/>
        <v>0</v>
      </c>
    </row>
    <row r="78" spans="1:9">
      <c r="A78" s="7">
        <v>57</v>
      </c>
      <c r="B78" s="9">
        <f t="shared" si="9"/>
        <v>0</v>
      </c>
      <c r="C78" s="10">
        <f t="shared" si="8"/>
        <v>0</v>
      </c>
      <c r="D78" s="10">
        <f t="shared" si="10"/>
        <v>0</v>
      </c>
      <c r="E78" s="10">
        <f t="shared" si="11"/>
        <v>0</v>
      </c>
      <c r="F78" s="10">
        <f t="shared" si="12"/>
        <v>0</v>
      </c>
      <c r="G78" s="10">
        <f t="shared" si="13"/>
        <v>0</v>
      </c>
      <c r="H78" s="8">
        <f t="shared" si="14"/>
        <v>0</v>
      </c>
      <c r="I78" s="10">
        <f t="shared" si="15"/>
        <v>0</v>
      </c>
    </row>
    <row r="79" spans="1:9">
      <c r="A79" s="7">
        <v>58</v>
      </c>
      <c r="B79" s="9">
        <f t="shared" si="9"/>
        <v>0</v>
      </c>
      <c r="C79" s="10">
        <f t="shared" si="8"/>
        <v>0</v>
      </c>
      <c r="D79" s="10">
        <f t="shared" si="10"/>
        <v>0</v>
      </c>
      <c r="E79" s="10">
        <f t="shared" si="11"/>
        <v>0</v>
      </c>
      <c r="F79" s="10">
        <f t="shared" si="12"/>
        <v>0</v>
      </c>
      <c r="G79" s="10">
        <f t="shared" si="13"/>
        <v>0</v>
      </c>
      <c r="H79" s="8">
        <f t="shared" si="14"/>
        <v>0</v>
      </c>
      <c r="I79" s="10">
        <f t="shared" si="15"/>
        <v>0</v>
      </c>
    </row>
    <row r="80" spans="1:9">
      <c r="A80" s="7">
        <v>59</v>
      </c>
      <c r="B80" s="9">
        <f t="shared" si="9"/>
        <v>0</v>
      </c>
      <c r="C80" s="10">
        <f t="shared" si="8"/>
        <v>0</v>
      </c>
      <c r="D80" s="10">
        <f t="shared" si="10"/>
        <v>0</v>
      </c>
      <c r="E80" s="10">
        <f t="shared" si="11"/>
        <v>0</v>
      </c>
      <c r="F80" s="10">
        <f t="shared" si="12"/>
        <v>0</v>
      </c>
      <c r="G80" s="10">
        <f t="shared" si="13"/>
        <v>0</v>
      </c>
      <c r="H80" s="8">
        <f t="shared" si="14"/>
        <v>0</v>
      </c>
      <c r="I80" s="10">
        <f t="shared" si="15"/>
        <v>0</v>
      </c>
    </row>
    <row r="81" spans="1:9">
      <c r="A81" s="7">
        <v>60</v>
      </c>
      <c r="B81" s="9">
        <f t="shared" si="9"/>
        <v>0</v>
      </c>
      <c r="C81" s="10">
        <f t="shared" si="8"/>
        <v>0</v>
      </c>
      <c r="D81" s="10">
        <f t="shared" si="10"/>
        <v>0</v>
      </c>
      <c r="E81" s="10">
        <f t="shared" si="11"/>
        <v>0</v>
      </c>
      <c r="F81" s="10">
        <f t="shared" si="12"/>
        <v>0</v>
      </c>
      <c r="G81" s="10">
        <f t="shared" si="13"/>
        <v>0</v>
      </c>
      <c r="H81" s="8">
        <f t="shared" si="14"/>
        <v>0</v>
      </c>
      <c r="I81" s="10">
        <f t="shared" si="15"/>
        <v>0</v>
      </c>
    </row>
    <row r="82" spans="1:9">
      <c r="A82" s="1" t="s">
        <v>27</v>
      </c>
      <c r="B82" s="1" t="s">
        <v>27</v>
      </c>
      <c r="C82" s="1" t="s">
        <v>27</v>
      </c>
      <c r="D82" s="1" t="s">
        <v>27</v>
      </c>
      <c r="E82" s="1" t="s">
        <v>27</v>
      </c>
      <c r="F82" s="1" t="s">
        <v>27</v>
      </c>
      <c r="G82" s="1" t="s">
        <v>27</v>
      </c>
      <c r="H82" s="1" t="s">
        <v>27</v>
      </c>
      <c r="I82" s="1" t="s">
        <v>26</v>
      </c>
    </row>
    <row r="84" spans="1:9">
      <c r="B84" s="11"/>
    </row>
    <row r="85" spans="1:9">
      <c r="B85" s="1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299"/>
  <sheetViews>
    <sheetView workbookViewId="0">
      <selection activeCell="I25" sqref="I25"/>
    </sheetView>
  </sheetViews>
  <sheetFormatPr defaultColWidth="9.625" defaultRowHeight="12"/>
  <cols>
    <col min="1" max="1" width="1.625" customWidth="1"/>
    <col min="2" max="2" width="15.625" customWidth="1"/>
    <col min="9" max="9" width="10.625" customWidth="1"/>
    <col min="18" max="19" width="15.625" customWidth="1"/>
    <col min="20" max="20" width="20.625" customWidth="1"/>
    <col min="21" max="22" width="15.625" customWidth="1"/>
    <col min="26" max="27" width="15.625" customWidth="1"/>
    <col min="28" max="28" width="20.625" customWidth="1"/>
    <col min="29" max="30" width="15.625" customWidth="1"/>
  </cols>
  <sheetData>
    <row r="1" spans="2:7">
      <c r="B1" s="1" t="s">
        <v>78</v>
      </c>
    </row>
    <row r="3" spans="2:7">
      <c r="B3" s="1" t="s">
        <v>79</v>
      </c>
      <c r="G3" s="12">
        <v>20000</v>
      </c>
    </row>
    <row r="4" spans="2:7">
      <c r="B4" s="1" t="s">
        <v>80</v>
      </c>
      <c r="G4" s="13">
        <v>0.18</v>
      </c>
    </row>
    <row r="5" spans="2:7">
      <c r="B5" s="1" t="s">
        <v>81</v>
      </c>
      <c r="G5" s="13">
        <v>0.38500000000000001</v>
      </c>
    </row>
    <row r="6" spans="2:7">
      <c r="B6" s="1" t="s">
        <v>82</v>
      </c>
      <c r="G6" s="13">
        <v>0.12</v>
      </c>
    </row>
    <row r="7" spans="2:7">
      <c r="B7" s="1" t="s">
        <v>83</v>
      </c>
      <c r="G7" s="4">
        <f>G6*(1-G5)</f>
        <v>7.3799999999999991E-2</v>
      </c>
    </row>
    <row r="8" spans="2:7">
      <c r="B8" s="1" t="s">
        <v>84</v>
      </c>
      <c r="G8" s="13">
        <v>0.05</v>
      </c>
    </row>
    <row r="9" spans="2:7">
      <c r="F9" s="5" t="s">
        <v>85</v>
      </c>
      <c r="G9" s="1" t="s">
        <v>86</v>
      </c>
    </row>
    <row r="10" spans="2:7">
      <c r="D10" s="5" t="s">
        <v>87</v>
      </c>
      <c r="E10" s="5" t="s">
        <v>88</v>
      </c>
      <c r="F10" s="5" t="s">
        <v>89</v>
      </c>
      <c r="G10" s="5" t="s">
        <v>90</v>
      </c>
    </row>
    <row r="11" spans="2:7">
      <c r="B11" s="1" t="s">
        <v>91</v>
      </c>
      <c r="D11" s="12">
        <v>500</v>
      </c>
      <c r="E11" s="12">
        <v>500</v>
      </c>
      <c r="F11" s="12">
        <v>500</v>
      </c>
      <c r="G11" s="5" t="s">
        <v>92</v>
      </c>
    </row>
    <row r="12" spans="2:7">
      <c r="B12" s="1" t="s">
        <v>93</v>
      </c>
      <c r="D12" s="13">
        <v>4.3E-3</v>
      </c>
      <c r="E12" s="13">
        <v>4.0000000000000001E-3</v>
      </c>
      <c r="F12" s="13">
        <v>4.0000000000000001E-3</v>
      </c>
      <c r="G12" s="5" t="s">
        <v>92</v>
      </c>
    </row>
    <row r="13" spans="2:7">
      <c r="B13" s="1" t="s">
        <v>94</v>
      </c>
      <c r="D13" s="3">
        <v>4</v>
      </c>
      <c r="E13" s="3">
        <v>4</v>
      </c>
      <c r="F13" s="3">
        <v>4</v>
      </c>
      <c r="G13" s="5" t="s">
        <v>92</v>
      </c>
    </row>
    <row r="14" spans="2:7">
      <c r="B14" s="1" t="s">
        <v>95</v>
      </c>
      <c r="D14" s="3">
        <v>12</v>
      </c>
      <c r="E14" s="3">
        <v>12</v>
      </c>
      <c r="F14" s="3">
        <v>12</v>
      </c>
      <c r="G14" s="5" t="s">
        <v>92</v>
      </c>
    </row>
    <row r="15" spans="2:7">
      <c r="B15" s="1" t="s">
        <v>96</v>
      </c>
      <c r="D15" s="13">
        <v>0.12</v>
      </c>
      <c r="E15" s="13">
        <v>0.12</v>
      </c>
      <c r="F15" s="13">
        <v>0.12</v>
      </c>
      <c r="G15" s="18" t="s">
        <v>92</v>
      </c>
    </row>
    <row r="16" spans="2:7">
      <c r="B16" s="1" t="s">
        <v>97</v>
      </c>
      <c r="D16" s="13">
        <v>0.2</v>
      </c>
      <c r="E16" s="5" t="s">
        <v>92</v>
      </c>
      <c r="F16" s="18" t="s">
        <v>92</v>
      </c>
      <c r="G16" s="18" t="s">
        <v>92</v>
      </c>
    </row>
    <row r="17" spans="1:10">
      <c r="B17" s="1" t="s">
        <v>98</v>
      </c>
      <c r="D17" s="17">
        <f>G3*D16</f>
        <v>4000</v>
      </c>
      <c r="E17" s="5" t="s">
        <v>92</v>
      </c>
      <c r="F17" s="5" t="s">
        <v>92</v>
      </c>
      <c r="G17" s="5" t="s">
        <v>92</v>
      </c>
    </row>
    <row r="18" spans="1:10">
      <c r="B18" s="1" t="s">
        <v>99</v>
      </c>
      <c r="D18" s="5" t="s">
        <v>92</v>
      </c>
      <c r="E18" s="12">
        <v>4000</v>
      </c>
      <c r="F18" s="12">
        <v>5000</v>
      </c>
      <c r="G18" s="17">
        <f>D171</f>
        <v>20000</v>
      </c>
    </row>
    <row r="20" spans="1:10">
      <c r="B20" s="1" t="s">
        <v>100</v>
      </c>
      <c r="D20" s="17">
        <f>E65</f>
        <v>5481.2835672575566</v>
      </c>
      <c r="E20" s="17">
        <f>E135</f>
        <v>5056.0964029301267</v>
      </c>
      <c r="F20" s="17">
        <f>E101</f>
        <v>4740.0903777469939</v>
      </c>
      <c r="G20" s="5" t="s">
        <v>92</v>
      </c>
    </row>
    <row r="22" spans="1:10">
      <c r="B22" s="1" t="s">
        <v>101</v>
      </c>
      <c r="D22" s="17">
        <f>E85</f>
        <v>13715.586998232808</v>
      </c>
      <c r="E22" s="17">
        <f>E155</f>
        <v>7098.1986683131099</v>
      </c>
      <c r="F22" s="17">
        <f>E121</f>
        <v>9034.1992594880903</v>
      </c>
      <c r="G22" s="17">
        <f>E179</f>
        <v>16224.178988961592</v>
      </c>
      <c r="J22" s="17"/>
    </row>
    <row r="25" spans="1:10">
      <c r="B25" s="1" t="s">
        <v>30</v>
      </c>
    </row>
    <row r="26" spans="1:10">
      <c r="A26" s="1" t="s">
        <v>102</v>
      </c>
    </row>
    <row r="27" spans="1:10">
      <c r="A27" s="1" t="s">
        <v>103</v>
      </c>
    </row>
    <row r="28" spans="1:10">
      <c r="A28" s="1" t="s">
        <v>104</v>
      </c>
    </row>
    <row r="29" spans="1:10">
      <c r="A29" s="1" t="s">
        <v>105</v>
      </c>
      <c r="B29" s="1" t="s">
        <v>106</v>
      </c>
      <c r="C29" s="1" t="s">
        <v>106</v>
      </c>
      <c r="D29" s="1" t="s">
        <v>106</v>
      </c>
      <c r="E29" s="1" t="s">
        <v>106</v>
      </c>
      <c r="F29" s="1" t="s">
        <v>106</v>
      </c>
      <c r="G29" s="1" t="s">
        <v>106</v>
      </c>
      <c r="H29" s="1" t="s">
        <v>106</v>
      </c>
      <c r="I29" s="1" t="s">
        <v>106</v>
      </c>
      <c r="J29" s="1" t="s">
        <v>107</v>
      </c>
    </row>
    <row r="31" spans="1:10">
      <c r="E31" s="1" t="s">
        <v>108</v>
      </c>
    </row>
    <row r="33" spans="1:11">
      <c r="C33" s="1" t="s">
        <v>109</v>
      </c>
      <c r="E33" s="1" t="s">
        <v>110</v>
      </c>
      <c r="G33" s="1" t="s">
        <v>111</v>
      </c>
      <c r="I33" s="1" t="s">
        <v>112</v>
      </c>
    </row>
    <row r="34" spans="1:11">
      <c r="A34" s="19" t="s">
        <v>113</v>
      </c>
      <c r="B34" s="1" t="s">
        <v>27</v>
      </c>
      <c r="C34" s="1" t="s">
        <v>114</v>
      </c>
      <c r="D34" s="1" t="s">
        <v>114</v>
      </c>
      <c r="E34" s="1" t="s">
        <v>115</v>
      </c>
      <c r="F34" s="1" t="s">
        <v>115</v>
      </c>
      <c r="G34" s="1" t="s">
        <v>114</v>
      </c>
      <c r="H34" s="1" t="s">
        <v>114</v>
      </c>
      <c r="I34" s="1" t="s">
        <v>115</v>
      </c>
      <c r="J34" s="1" t="s">
        <v>115</v>
      </c>
      <c r="K34" s="20" t="s">
        <v>113</v>
      </c>
    </row>
    <row r="35" spans="1:11">
      <c r="A35" s="19" t="s">
        <v>113</v>
      </c>
      <c r="C35" s="5" t="s">
        <v>90</v>
      </c>
      <c r="D35" s="5" t="s">
        <v>116</v>
      </c>
      <c r="E35" s="5" t="s">
        <v>90</v>
      </c>
      <c r="F35" s="5" t="s">
        <v>116</v>
      </c>
      <c r="G35" s="5" t="s">
        <v>90</v>
      </c>
      <c r="H35" s="5" t="s">
        <v>116</v>
      </c>
      <c r="I35" s="5" t="s">
        <v>90</v>
      </c>
      <c r="J35" s="5" t="s">
        <v>116</v>
      </c>
      <c r="K35" s="20" t="s">
        <v>113</v>
      </c>
    </row>
    <row r="36" spans="1:11">
      <c r="A36" s="19" t="s">
        <v>113</v>
      </c>
      <c r="B36" s="5" t="s">
        <v>117</v>
      </c>
      <c r="C36" s="5" t="s">
        <v>118</v>
      </c>
      <c r="D36" s="5" t="s">
        <v>119</v>
      </c>
      <c r="E36" s="5" t="s">
        <v>118</v>
      </c>
      <c r="F36" s="5" t="s">
        <v>119</v>
      </c>
      <c r="G36" s="5" t="s">
        <v>118</v>
      </c>
      <c r="H36" s="5" t="s">
        <v>119</v>
      </c>
      <c r="I36" s="5" t="s">
        <v>118</v>
      </c>
      <c r="J36" s="5" t="s">
        <v>119</v>
      </c>
      <c r="K36" s="20" t="s">
        <v>113</v>
      </c>
    </row>
    <row r="37" spans="1:11">
      <c r="A37" s="19" t="s">
        <v>113</v>
      </c>
      <c r="B37" s="1" t="s">
        <v>120</v>
      </c>
      <c r="C37" s="1" t="s">
        <v>114</v>
      </c>
      <c r="D37" s="1" t="s">
        <v>114</v>
      </c>
      <c r="E37" s="1" t="s">
        <v>115</v>
      </c>
      <c r="F37" s="1" t="s">
        <v>115</v>
      </c>
      <c r="G37" s="1" t="s">
        <v>114</v>
      </c>
      <c r="H37" s="1" t="s">
        <v>114</v>
      </c>
      <c r="I37" s="1" t="s">
        <v>115</v>
      </c>
      <c r="J37" s="1" t="s">
        <v>115</v>
      </c>
      <c r="K37" s="20" t="s">
        <v>113</v>
      </c>
    </row>
    <row r="38" spans="1:11">
      <c r="A38" s="19" t="s">
        <v>113</v>
      </c>
      <c r="B38" s="7">
        <v>0</v>
      </c>
      <c r="C38" s="8">
        <f>SUM(D74:D75)</f>
        <v>456.77363060479638</v>
      </c>
      <c r="D38" s="8">
        <f>SUM(D78)</f>
        <v>0</v>
      </c>
      <c r="E38" s="8">
        <f>SUM(D144:D146)</f>
        <v>4000</v>
      </c>
      <c r="F38" s="8">
        <f>SUM(D149:D150)</f>
        <v>0</v>
      </c>
      <c r="G38" s="8">
        <f>SUM(D111:D112)</f>
        <v>0</v>
      </c>
      <c r="H38" s="8">
        <f>SUM(D115:D116)</f>
        <v>0</v>
      </c>
      <c r="I38" s="8">
        <f>D171</f>
        <v>20000</v>
      </c>
      <c r="J38" s="8">
        <f>D174</f>
        <v>0</v>
      </c>
      <c r="K38" s="20" t="s">
        <v>113</v>
      </c>
    </row>
    <row r="39" spans="1:11">
      <c r="A39" s="19" t="s">
        <v>113</v>
      </c>
      <c r="B39" s="7">
        <v>1</v>
      </c>
      <c r="C39" s="8">
        <f>SUM(E74:E75)</f>
        <v>5481.2835672575566</v>
      </c>
      <c r="D39" s="8">
        <f>SUM(E78:E79)</f>
        <v>0</v>
      </c>
      <c r="E39" s="8">
        <f>SUM(E145:E146)</f>
        <v>3314.4626733197929</v>
      </c>
      <c r="F39" s="8">
        <f>SUM(E149:E150)</f>
        <v>0</v>
      </c>
      <c r="G39" s="8">
        <f>SUM(E111:E112)</f>
        <v>3107.3087562373066</v>
      </c>
      <c r="H39" s="8">
        <f>SUM(E115:E116)</f>
        <v>0</v>
      </c>
      <c r="I39" s="8">
        <f>E171</f>
        <v>0</v>
      </c>
      <c r="J39" s="8">
        <f>E174</f>
        <v>0</v>
      </c>
      <c r="K39" s="20" t="s">
        <v>113</v>
      </c>
    </row>
    <row r="40" spans="1:11">
      <c r="A40" s="19" t="s">
        <v>113</v>
      </c>
      <c r="B40" s="7">
        <v>2</v>
      </c>
      <c r="C40" s="8">
        <f>SUM(F74:F75)</f>
        <v>5481.2835672575566</v>
      </c>
      <c r="D40" s="8">
        <f>SUM(F78:F79)</f>
        <v>2110.2941733941593</v>
      </c>
      <c r="E40" s="8">
        <f>SUM(F145:F146)</f>
        <v>7469.6390034697324</v>
      </c>
      <c r="F40" s="8">
        <f>SUM(F149:F150)</f>
        <v>2662.0681292281206</v>
      </c>
      <c r="G40" s="8">
        <f>SUM(F111:F112)</f>
        <v>7002.786565752871</v>
      </c>
      <c r="H40" s="8">
        <f>SUM(F115:F116)</f>
        <v>2235.8138711513629</v>
      </c>
      <c r="I40" s="8">
        <f>F171</f>
        <v>0</v>
      </c>
      <c r="J40" s="8">
        <f>F174</f>
        <v>1039.5</v>
      </c>
      <c r="K40" s="20" t="s">
        <v>113</v>
      </c>
    </row>
    <row r="41" spans="1:11">
      <c r="A41" s="19" t="s">
        <v>113</v>
      </c>
      <c r="B41" s="7">
        <v>3</v>
      </c>
      <c r="C41" s="8">
        <f>SUM(G74:G75)</f>
        <v>5481.2835672575566</v>
      </c>
      <c r="D41" s="8">
        <f>SUM(G78:G79)</f>
        <v>2110.2941733941593</v>
      </c>
      <c r="E41" s="8">
        <f>SUM(G145:G146)</f>
        <v>473.6685958449907</v>
      </c>
      <c r="F41" s="8">
        <f>SUM(G149:G150)</f>
        <v>2823.9055081679235</v>
      </c>
      <c r="G41" s="8">
        <f>SUM(G111:G112)</f>
        <v>4389.5219000858051</v>
      </c>
      <c r="H41" s="8">
        <f>SUM(G115:G116)</f>
        <v>2387.5364139074277</v>
      </c>
      <c r="I41" s="8">
        <f>G171</f>
        <v>0</v>
      </c>
      <c r="J41" s="8">
        <f>G174</f>
        <v>1039.5</v>
      </c>
      <c r="K41" s="20" t="s">
        <v>113</v>
      </c>
    </row>
    <row r="42" spans="1:11">
      <c r="A42" s="19" t="s">
        <v>113</v>
      </c>
      <c r="B42" s="7">
        <v>4</v>
      </c>
      <c r="C42" s="8">
        <f>SUM(H74:H75)</f>
        <v>9024.5099366527611</v>
      </c>
      <c r="D42" s="8">
        <f>SUM(H78:H79)</f>
        <v>2110.2941733941593</v>
      </c>
      <c r="E42" s="8">
        <f>SUM(H145:H146)</f>
        <v>4742.2297273654585</v>
      </c>
      <c r="F42" s="8">
        <f>SUM(H149:H150)</f>
        <v>3006.2679175682451</v>
      </c>
      <c r="G42" s="8">
        <f>SUM(H111:H112)</f>
        <v>500.38277792399731</v>
      </c>
      <c r="H42" s="8">
        <f>SUM(H115:H116)</f>
        <v>2558.5011727202314</v>
      </c>
      <c r="I42" s="8">
        <f>H171</f>
        <v>0</v>
      </c>
      <c r="J42" s="8">
        <f>H174</f>
        <v>1039.5</v>
      </c>
      <c r="K42" s="20" t="s">
        <v>113</v>
      </c>
    </row>
    <row r="43" spans="1:11">
      <c r="A43" s="19" t="s">
        <v>113</v>
      </c>
      <c r="B43" s="7">
        <v>5</v>
      </c>
      <c r="C43" s="8">
        <f>SUM(I74:I75)</f>
        <v>0</v>
      </c>
      <c r="D43" s="8">
        <f>SUM(I78:I79)</f>
        <v>2110.2941733941593</v>
      </c>
      <c r="E43" s="8">
        <f>SUM(I145:I146)</f>
        <v>0</v>
      </c>
      <c r="F43" s="8">
        <f>SUM(I149:I150)</f>
        <v>3211.7584450357017</v>
      </c>
      <c r="G43" s="8">
        <f>SUM(I111:I112)</f>
        <v>0</v>
      </c>
      <c r="H43" s="8">
        <f>SUM(I115:I116)</f>
        <v>2751.1485422209703</v>
      </c>
      <c r="I43" s="8">
        <f>I171</f>
        <v>0</v>
      </c>
      <c r="J43" s="8">
        <f>I174</f>
        <v>1039.5</v>
      </c>
      <c r="K43" s="20" t="s">
        <v>113</v>
      </c>
    </row>
    <row r="44" spans="1:11">
      <c r="A44" s="19" t="s">
        <v>113</v>
      </c>
      <c r="B44" s="7">
        <v>6</v>
      </c>
      <c r="C44" s="8">
        <f>SUM(J74:J75)</f>
        <v>0</v>
      </c>
      <c r="D44" s="8">
        <f>SUM(J78:J79)</f>
        <v>277.2</v>
      </c>
      <c r="E44" s="8">
        <f>SUM(J145:J146)</f>
        <v>0</v>
      </c>
      <c r="F44" s="8">
        <f>SUM(J149:J150)</f>
        <v>1386</v>
      </c>
      <c r="G44" s="8">
        <f>SUM(J111:J112)</f>
        <v>0</v>
      </c>
      <c r="H44" s="8">
        <f>SUM(J115:J116)</f>
        <v>1039.5</v>
      </c>
      <c r="I44" s="8">
        <f>J171</f>
        <v>0</v>
      </c>
      <c r="J44" s="8">
        <f>J174</f>
        <v>1039.5</v>
      </c>
      <c r="K44" s="20" t="s">
        <v>113</v>
      </c>
    </row>
    <row r="45" spans="1:11">
      <c r="A45" s="19" t="s">
        <v>113</v>
      </c>
      <c r="B45" s="7">
        <v>7</v>
      </c>
      <c r="C45" s="8">
        <f>SUM(K74:K75)</f>
        <v>0</v>
      </c>
      <c r="D45" s="8">
        <f>SUM(K78:K79)</f>
        <v>277.2</v>
      </c>
      <c r="E45" s="8">
        <f>SUM(K145:K146)</f>
        <v>0</v>
      </c>
      <c r="F45" s="8">
        <f>SUM(K149:K150)</f>
        <v>769.99999999999977</v>
      </c>
      <c r="G45" s="8">
        <f>SUM(K111:K112)</f>
        <v>0</v>
      </c>
      <c r="H45" s="8">
        <f>SUM(K115:K116)</f>
        <v>577.49999999999977</v>
      </c>
      <c r="I45" s="8">
        <f>K171</f>
        <v>0</v>
      </c>
      <c r="J45" s="8">
        <f>K174</f>
        <v>577.49999999999977</v>
      </c>
      <c r="K45" s="20" t="s">
        <v>113</v>
      </c>
    </row>
    <row r="46" spans="1:11">
      <c r="A46" s="19" t="s">
        <v>113</v>
      </c>
      <c r="B46" s="7">
        <v>8</v>
      </c>
      <c r="C46" s="8">
        <f>SUM(L74:L75)</f>
        <v>0</v>
      </c>
      <c r="D46" s="8">
        <f>SUM(L78:L79)</f>
        <v>277.2</v>
      </c>
      <c r="E46" s="8">
        <f>SUM(L145:L146)</f>
        <v>0</v>
      </c>
      <c r="F46" s="8">
        <f>SUM(L149:L150)</f>
        <v>0</v>
      </c>
      <c r="G46" s="8">
        <f>SUM(L111:L112)</f>
        <v>0</v>
      </c>
      <c r="H46" s="8">
        <f>SUM(L115:L116)</f>
        <v>0</v>
      </c>
      <c r="I46" s="8">
        <f>L171</f>
        <v>0</v>
      </c>
      <c r="J46" s="8">
        <f>L174</f>
        <v>0</v>
      </c>
      <c r="K46" s="20" t="s">
        <v>113</v>
      </c>
    </row>
    <row r="47" spans="1:11">
      <c r="A47" s="19" t="s">
        <v>113</v>
      </c>
      <c r="B47" s="7">
        <v>9</v>
      </c>
      <c r="C47" s="8">
        <f>SUM(M74:M75)</f>
        <v>0</v>
      </c>
      <c r="D47" s="8">
        <f>SUM(M78:M79)</f>
        <v>277.2</v>
      </c>
      <c r="E47" s="8">
        <f>SUM(M145:M146)</f>
        <v>0</v>
      </c>
      <c r="F47" s="8">
        <f>SUM(M149:M150)</f>
        <v>0</v>
      </c>
      <c r="G47" s="8">
        <f>SUM(M111:M112)</f>
        <v>0</v>
      </c>
      <c r="H47" s="8">
        <f>SUM(M115:M116)</f>
        <v>0</v>
      </c>
      <c r="I47" s="8">
        <f>M171</f>
        <v>0</v>
      </c>
      <c r="J47" s="8">
        <f>M174</f>
        <v>0</v>
      </c>
      <c r="K47" s="20" t="s">
        <v>113</v>
      </c>
    </row>
    <row r="48" spans="1:11">
      <c r="A48" s="19" t="s">
        <v>113</v>
      </c>
      <c r="B48" s="7">
        <v>10</v>
      </c>
      <c r="C48" s="8">
        <f>SUM(N74:N75)</f>
        <v>0</v>
      </c>
      <c r="D48" s="8">
        <f>SUM(N78:N79)</f>
        <v>277.2</v>
      </c>
      <c r="E48" s="8">
        <f>SUM(N145:N146)</f>
        <v>0</v>
      </c>
      <c r="F48" s="8">
        <f>SUM(N149:N150)</f>
        <v>0</v>
      </c>
      <c r="G48" s="8">
        <f>SUM(N111:N112)</f>
        <v>0</v>
      </c>
      <c r="H48" s="8">
        <f>SUM(N115:N116)</f>
        <v>0</v>
      </c>
      <c r="I48" s="8">
        <f>N171</f>
        <v>0</v>
      </c>
      <c r="J48" s="8">
        <f>N174</f>
        <v>0</v>
      </c>
      <c r="K48" s="20" t="s">
        <v>113</v>
      </c>
    </row>
    <row r="49" spans="1:11">
      <c r="A49" s="19" t="s">
        <v>113</v>
      </c>
      <c r="B49" s="1" t="s">
        <v>121</v>
      </c>
      <c r="C49" s="1" t="s">
        <v>106</v>
      </c>
      <c r="D49" s="1" t="s">
        <v>106</v>
      </c>
      <c r="E49" s="1" t="s">
        <v>106</v>
      </c>
      <c r="F49" s="1" t="s">
        <v>106</v>
      </c>
      <c r="G49" s="1" t="s">
        <v>106</v>
      </c>
      <c r="H49" s="1" t="s">
        <v>106</v>
      </c>
      <c r="I49" s="1" t="s">
        <v>106</v>
      </c>
      <c r="J49" s="1" t="s">
        <v>107</v>
      </c>
      <c r="K49" s="20" t="s">
        <v>113</v>
      </c>
    </row>
    <row r="52" spans="1:11">
      <c r="A52">
        <v>1</v>
      </c>
      <c r="B52" s="1" t="s">
        <v>122</v>
      </c>
    </row>
    <row r="53" spans="1:11">
      <c r="B53" s="1" t="s">
        <v>106</v>
      </c>
      <c r="C53" s="6" t="s">
        <v>106</v>
      </c>
      <c r="D53" s="6" t="s">
        <v>106</v>
      </c>
      <c r="E53" s="6" t="s">
        <v>107</v>
      </c>
    </row>
    <row r="54" spans="1:11">
      <c r="B54" s="1" t="s">
        <v>91</v>
      </c>
      <c r="E54" s="7">
        <f>D11</f>
        <v>500</v>
      </c>
    </row>
    <row r="55" spans="1:11">
      <c r="B55" s="1" t="s">
        <v>123</v>
      </c>
      <c r="E55" s="4">
        <f>D12</f>
        <v>4.3E-3</v>
      </c>
    </row>
    <row r="56" spans="1:11">
      <c r="B56" s="1" t="s">
        <v>124</v>
      </c>
      <c r="E56" s="7">
        <f>D13</f>
        <v>4</v>
      </c>
    </row>
    <row r="57" spans="1:11">
      <c r="B57" s="1" t="s">
        <v>125</v>
      </c>
      <c r="E57" s="7">
        <f>G3</f>
        <v>20000</v>
      </c>
    </row>
    <row r="58" spans="1:11">
      <c r="B58" s="1" t="s">
        <v>126</v>
      </c>
      <c r="E58" s="4">
        <f>D15</f>
        <v>0.12</v>
      </c>
      <c r="I58" s="4"/>
      <c r="J58" s="4"/>
    </row>
    <row r="59" spans="1:11">
      <c r="B59" s="1" t="s">
        <v>127</v>
      </c>
      <c r="E59" s="4">
        <f>D16</f>
        <v>0.2</v>
      </c>
      <c r="I59" s="4"/>
      <c r="J59" s="4"/>
    </row>
    <row r="60" spans="1:11">
      <c r="B60" s="1" t="s">
        <v>128</v>
      </c>
      <c r="E60" s="7">
        <f>E57*E59</f>
        <v>4000</v>
      </c>
    </row>
    <row r="61" spans="1:11">
      <c r="B61" s="1" t="s">
        <v>129</v>
      </c>
      <c r="E61" s="7">
        <f>D14</f>
        <v>12</v>
      </c>
    </row>
    <row r="62" spans="1:11">
      <c r="B62" s="1" t="s">
        <v>130</v>
      </c>
      <c r="E62" s="7">
        <f>E56*E61</f>
        <v>48</v>
      </c>
    </row>
    <row r="63" spans="1:11">
      <c r="B63" s="1" t="s">
        <v>131</v>
      </c>
      <c r="E63" s="4">
        <f>E58/E61</f>
        <v>0.01</v>
      </c>
    </row>
    <row r="64" spans="1:11">
      <c r="B64" s="1" t="s">
        <v>132</v>
      </c>
      <c r="E64" s="17">
        <f>(E57-(E60/((1+E63)^E62)))/((1-((1/(1+E63)^(E62))))/(1-((1/(1+E63)))))</f>
        <v>456.77363060479638</v>
      </c>
      <c r="I64" s="17"/>
      <c r="J64" s="17"/>
    </row>
    <row r="65" spans="2:14">
      <c r="B65" s="1" t="s">
        <v>133</v>
      </c>
      <c r="E65" s="17">
        <f>E64*E61</f>
        <v>5481.2835672575566</v>
      </c>
    </row>
    <row r="66" spans="2:14">
      <c r="B66" s="1" t="s">
        <v>134</v>
      </c>
      <c r="E66" s="4">
        <f>G5</f>
        <v>0.38500000000000001</v>
      </c>
      <c r="I66" s="4"/>
      <c r="J66" s="4"/>
    </row>
    <row r="67" spans="2:14">
      <c r="B67" s="1" t="s">
        <v>135</v>
      </c>
      <c r="E67" s="4">
        <f>G7</f>
        <v>7.3799999999999991E-2</v>
      </c>
      <c r="I67" s="4"/>
      <c r="J67" s="4"/>
    </row>
    <row r="70" spans="2:14">
      <c r="B70" s="1" t="s">
        <v>117</v>
      </c>
      <c r="D70" s="7">
        <v>0</v>
      </c>
      <c r="E70" s="7">
        <v>1</v>
      </c>
      <c r="F70" s="7">
        <v>2</v>
      </c>
      <c r="G70" s="7">
        <v>3</v>
      </c>
      <c r="H70" s="7">
        <v>4</v>
      </c>
      <c r="I70" s="7">
        <v>5</v>
      </c>
      <c r="J70" s="7">
        <v>6</v>
      </c>
      <c r="K70" s="7">
        <v>7</v>
      </c>
      <c r="L70" s="7">
        <v>8</v>
      </c>
      <c r="M70" s="7">
        <v>9</v>
      </c>
      <c r="N70" s="7">
        <v>10</v>
      </c>
    </row>
    <row r="71" spans="2:14">
      <c r="B71" s="1" t="s">
        <v>136</v>
      </c>
      <c r="C71" s="1" t="s">
        <v>136</v>
      </c>
      <c r="D71" s="1" t="s">
        <v>136</v>
      </c>
      <c r="E71" s="1" t="s">
        <v>136</v>
      </c>
      <c r="F71" s="1" t="s">
        <v>136</v>
      </c>
      <c r="G71" s="1" t="s">
        <v>136</v>
      </c>
      <c r="H71" s="1" t="s">
        <v>136</v>
      </c>
      <c r="I71" s="1" t="s">
        <v>136</v>
      </c>
      <c r="J71" s="1" t="s">
        <v>136</v>
      </c>
      <c r="K71" s="1" t="s">
        <v>136</v>
      </c>
      <c r="L71" s="1" t="s">
        <v>136</v>
      </c>
      <c r="M71" s="1" t="s">
        <v>136</v>
      </c>
      <c r="N71" s="1" t="s">
        <v>26</v>
      </c>
    </row>
    <row r="72" spans="2:14">
      <c r="B72" s="1" t="s">
        <v>91</v>
      </c>
      <c r="D72" s="7">
        <f>E54</f>
        <v>500</v>
      </c>
    </row>
    <row r="73" spans="2:14">
      <c r="B73" s="1" t="s">
        <v>123</v>
      </c>
      <c r="D73" s="7">
        <f>E55*E57</f>
        <v>86</v>
      </c>
    </row>
    <row r="74" spans="2:14">
      <c r="B74" s="1" t="s">
        <v>137</v>
      </c>
      <c r="D74" s="8">
        <f>E64</f>
        <v>456.77363060479638</v>
      </c>
      <c r="E74" s="8">
        <f t="shared" ref="E74:N74" si="0">IF(E70&lt;$E$56,$E$65,IF(E70=$E$56,$E$65-$E$64,0))</f>
        <v>5481.2835672575566</v>
      </c>
      <c r="F74" s="8">
        <f t="shared" si="0"/>
        <v>5481.2835672575566</v>
      </c>
      <c r="G74" s="8">
        <f t="shared" si="0"/>
        <v>5481.2835672575566</v>
      </c>
      <c r="H74" s="8">
        <f t="shared" si="0"/>
        <v>5024.5099366527602</v>
      </c>
      <c r="I74" s="8">
        <f t="shared" si="0"/>
        <v>0</v>
      </c>
      <c r="J74" s="8">
        <f t="shared" si="0"/>
        <v>0</v>
      </c>
      <c r="K74" s="8">
        <f t="shared" si="0"/>
        <v>0</v>
      </c>
      <c r="L74" s="8">
        <f t="shared" si="0"/>
        <v>0</v>
      </c>
      <c r="M74" s="8">
        <f t="shared" si="0"/>
        <v>0</v>
      </c>
      <c r="N74" s="8">
        <f t="shared" si="0"/>
        <v>0</v>
      </c>
    </row>
    <row r="75" spans="2:14">
      <c r="B75" s="1" t="s">
        <v>138</v>
      </c>
      <c r="E75" s="7">
        <f t="shared" ref="E75:N75" si="1">IF(E70=$E$56,$E$60,0)</f>
        <v>0</v>
      </c>
      <c r="F75" s="7">
        <f t="shared" si="1"/>
        <v>0</v>
      </c>
      <c r="G75" s="7">
        <f t="shared" si="1"/>
        <v>0</v>
      </c>
      <c r="H75" s="7">
        <f t="shared" si="1"/>
        <v>4000</v>
      </c>
      <c r="I75" s="7">
        <f t="shared" si="1"/>
        <v>0</v>
      </c>
      <c r="J75" s="7">
        <f t="shared" si="1"/>
        <v>0</v>
      </c>
      <c r="K75" s="7">
        <f t="shared" si="1"/>
        <v>0</v>
      </c>
      <c r="L75" s="7">
        <f t="shared" si="1"/>
        <v>0</v>
      </c>
      <c r="M75" s="7">
        <f t="shared" si="1"/>
        <v>0</v>
      </c>
      <c r="N75" s="7">
        <f t="shared" si="1"/>
        <v>0</v>
      </c>
    </row>
    <row r="77" spans="2:14">
      <c r="B77" s="1" t="s">
        <v>139</v>
      </c>
    </row>
    <row r="78" spans="2:14">
      <c r="B78" s="1" t="s">
        <v>140</v>
      </c>
      <c r="E78" s="8">
        <f>IF(E70&lt;$E$56+2,+D74*$I$66,0)</f>
        <v>0</v>
      </c>
      <c r="F78" s="8">
        <f t="shared" ref="F78:N78" si="2">IF(F70&lt;$E$56+2,+$E$65*$E$66,0)</f>
        <v>2110.2941733941593</v>
      </c>
      <c r="G78" s="8">
        <f t="shared" si="2"/>
        <v>2110.2941733941593</v>
      </c>
      <c r="H78" s="8">
        <f t="shared" si="2"/>
        <v>2110.2941733941593</v>
      </c>
      <c r="I78" s="8">
        <f t="shared" si="2"/>
        <v>2110.2941733941593</v>
      </c>
      <c r="J78" s="8">
        <f t="shared" si="2"/>
        <v>0</v>
      </c>
      <c r="K78" s="8">
        <f t="shared" si="2"/>
        <v>0</v>
      </c>
      <c r="L78" s="8">
        <f t="shared" si="2"/>
        <v>0</v>
      </c>
      <c r="M78" s="8">
        <f t="shared" si="2"/>
        <v>0</v>
      </c>
      <c r="N78" s="8">
        <f t="shared" si="2"/>
        <v>0</v>
      </c>
    </row>
    <row r="79" spans="2:14">
      <c r="B79" s="1" t="s">
        <v>141</v>
      </c>
      <c r="D79" s="8"/>
      <c r="E79" s="8">
        <f t="shared" ref="E79:N79" si="3">IF((E70-2&lt;$E$56),0,IF(E70-1&lt;=$E$56+(1/$G$4),$E$60*$G$4*$E$66,0))</f>
        <v>0</v>
      </c>
      <c r="F79" s="8">
        <f t="shared" si="3"/>
        <v>0</v>
      </c>
      <c r="G79" s="8">
        <f t="shared" si="3"/>
        <v>0</v>
      </c>
      <c r="H79" s="8">
        <f t="shared" si="3"/>
        <v>0</v>
      </c>
      <c r="I79" s="8">
        <f t="shared" si="3"/>
        <v>0</v>
      </c>
      <c r="J79" s="8">
        <f t="shared" si="3"/>
        <v>277.2</v>
      </c>
      <c r="K79" s="8">
        <f t="shared" si="3"/>
        <v>277.2</v>
      </c>
      <c r="L79" s="8">
        <f t="shared" si="3"/>
        <v>277.2</v>
      </c>
      <c r="M79" s="8">
        <f t="shared" si="3"/>
        <v>277.2</v>
      </c>
      <c r="N79" s="8">
        <f t="shared" si="3"/>
        <v>277.2</v>
      </c>
    </row>
    <row r="80" spans="2:14">
      <c r="B80" s="1" t="s">
        <v>142</v>
      </c>
    </row>
    <row r="81" spans="1:29">
      <c r="B81" s="1" t="s">
        <v>136</v>
      </c>
      <c r="C81" s="1" t="s">
        <v>136</v>
      </c>
      <c r="D81" s="1" t="s">
        <v>136</v>
      </c>
      <c r="E81" s="1" t="s">
        <v>136</v>
      </c>
      <c r="F81" s="1" t="s">
        <v>136</v>
      </c>
      <c r="G81" s="1" t="s">
        <v>136</v>
      </c>
      <c r="H81" s="1" t="s">
        <v>136</v>
      </c>
      <c r="I81" s="1" t="s">
        <v>136</v>
      </c>
      <c r="J81" s="1" t="s">
        <v>136</v>
      </c>
      <c r="K81" s="1" t="s">
        <v>136</v>
      </c>
      <c r="L81" s="1" t="s">
        <v>136</v>
      </c>
      <c r="M81" s="1" t="s">
        <v>136</v>
      </c>
      <c r="N81" s="1" t="s">
        <v>26</v>
      </c>
    </row>
    <row r="82" spans="1:29">
      <c r="D82" s="17">
        <f>SUM(D72:D75)-SUM(D78:D79)</f>
        <v>1042.7736306047964</v>
      </c>
      <c r="E82" s="17">
        <f t="shared" ref="E82:N82" si="4">SUM(E74:E75)-SUM(E78:E79)</f>
        <v>5481.2835672575566</v>
      </c>
      <c r="F82" s="17">
        <f t="shared" si="4"/>
        <v>3370.9893938633973</v>
      </c>
      <c r="G82" s="17">
        <f t="shared" si="4"/>
        <v>3370.9893938633973</v>
      </c>
      <c r="H82" s="17">
        <f t="shared" si="4"/>
        <v>6914.2157632586022</v>
      </c>
      <c r="I82" s="17">
        <f t="shared" si="4"/>
        <v>-2110.2941733941593</v>
      </c>
      <c r="J82" s="17">
        <f t="shared" si="4"/>
        <v>-277.2</v>
      </c>
      <c r="K82" s="17">
        <f t="shared" si="4"/>
        <v>-277.2</v>
      </c>
      <c r="L82" s="17">
        <f t="shared" si="4"/>
        <v>-277.2</v>
      </c>
      <c r="M82" s="17">
        <f t="shared" si="4"/>
        <v>-277.2</v>
      </c>
      <c r="N82" s="17">
        <f t="shared" si="4"/>
        <v>-277.2</v>
      </c>
    </row>
    <row r="83" spans="1:29">
      <c r="B83" s="1" t="s">
        <v>106</v>
      </c>
      <c r="C83" s="1" t="s">
        <v>106</v>
      </c>
      <c r="D83" s="1" t="s">
        <v>106</v>
      </c>
      <c r="E83" s="1" t="s">
        <v>106</v>
      </c>
      <c r="F83" s="1" t="s">
        <v>106</v>
      </c>
      <c r="G83" s="1" t="s">
        <v>106</v>
      </c>
      <c r="H83" s="1" t="s">
        <v>106</v>
      </c>
      <c r="I83" s="1" t="s">
        <v>107</v>
      </c>
      <c r="J83" s="1" t="s">
        <v>107</v>
      </c>
      <c r="K83" s="1" t="s">
        <v>107</v>
      </c>
      <c r="L83" s="1" t="s">
        <v>107</v>
      </c>
      <c r="M83" s="1" t="s">
        <v>107</v>
      </c>
      <c r="N83" s="1" t="s">
        <v>107</v>
      </c>
    </row>
    <row r="85" spans="1:29">
      <c r="B85" s="1" t="s">
        <v>143</v>
      </c>
      <c r="E85" s="17">
        <f>NPV(E67,D82:N82)</f>
        <v>13715.586998232808</v>
      </c>
    </row>
    <row r="86" spans="1:29">
      <c r="B86" s="1" t="s">
        <v>106</v>
      </c>
      <c r="C86" s="1" t="s">
        <v>106</v>
      </c>
      <c r="D86" s="1" t="s">
        <v>106</v>
      </c>
      <c r="E86" s="1" t="s">
        <v>107</v>
      </c>
    </row>
    <row r="88" spans="1:29">
      <c r="A88">
        <v>2</v>
      </c>
      <c r="B88" s="1" t="s">
        <v>111</v>
      </c>
    </row>
    <row r="89" spans="1:29">
      <c r="B89" s="1" t="s">
        <v>106</v>
      </c>
      <c r="C89" s="6" t="s">
        <v>106</v>
      </c>
      <c r="D89" s="6" t="s">
        <v>106</v>
      </c>
      <c r="E89" s="6" t="s">
        <v>107</v>
      </c>
    </row>
    <row r="90" spans="1:29">
      <c r="B90" s="1" t="s">
        <v>91</v>
      </c>
      <c r="E90" s="17">
        <f>F11</f>
        <v>500</v>
      </c>
    </row>
    <row r="91" spans="1:29">
      <c r="B91" s="1" t="s">
        <v>123</v>
      </c>
      <c r="E91" s="4">
        <f>F12</f>
        <v>4.0000000000000001E-3</v>
      </c>
    </row>
    <row r="92" spans="1:29">
      <c r="B92" s="1" t="s">
        <v>144</v>
      </c>
      <c r="E92" s="7">
        <f>F13</f>
        <v>4</v>
      </c>
    </row>
    <row r="93" spans="1:29">
      <c r="B93" s="1" t="s">
        <v>125</v>
      </c>
      <c r="E93" s="17">
        <f>G3</f>
        <v>20000</v>
      </c>
      <c r="Q93" s="5" t="s">
        <v>23</v>
      </c>
      <c r="R93" s="5" t="s">
        <v>28</v>
      </c>
      <c r="S93" s="5" t="s">
        <v>19</v>
      </c>
      <c r="T93" s="5" t="s">
        <v>18</v>
      </c>
      <c r="U93" s="5" t="s">
        <v>18</v>
      </c>
      <c r="Y93" s="5" t="s">
        <v>23</v>
      </c>
      <c r="Z93" s="5" t="s">
        <v>28</v>
      </c>
      <c r="AA93" s="5" t="s">
        <v>19</v>
      </c>
      <c r="AB93" s="5" t="s">
        <v>18</v>
      </c>
      <c r="AC93" s="5" t="s">
        <v>18</v>
      </c>
    </row>
    <row r="94" spans="1:29">
      <c r="B94" s="1" t="s">
        <v>145</v>
      </c>
      <c r="E94" s="17">
        <f>F18</f>
        <v>5000</v>
      </c>
      <c r="P94" s="2" t="s">
        <v>146</v>
      </c>
      <c r="Q94" s="5" t="s">
        <v>20</v>
      </c>
      <c r="R94" s="5" t="s">
        <v>20</v>
      </c>
      <c r="S94" s="5" t="s">
        <v>28</v>
      </c>
      <c r="T94" s="5" t="s">
        <v>23</v>
      </c>
      <c r="U94" s="5" t="s">
        <v>28</v>
      </c>
      <c r="X94" s="2" t="s">
        <v>146</v>
      </c>
      <c r="Y94" s="5" t="s">
        <v>20</v>
      </c>
      <c r="Z94" s="5" t="s">
        <v>20</v>
      </c>
      <c r="AA94" s="5" t="s">
        <v>28</v>
      </c>
      <c r="AB94" s="5" t="s">
        <v>23</v>
      </c>
      <c r="AC94" s="5" t="s">
        <v>28</v>
      </c>
    </row>
    <row r="95" spans="1:29">
      <c r="B95" s="1" t="s">
        <v>147</v>
      </c>
      <c r="E95" s="17">
        <f>G3-F18</f>
        <v>15000</v>
      </c>
      <c r="P95" s="1" t="s">
        <v>148</v>
      </c>
      <c r="Q95" s="1" t="s">
        <v>148</v>
      </c>
      <c r="R95" s="1" t="s">
        <v>148</v>
      </c>
      <c r="S95" s="1" t="s">
        <v>148</v>
      </c>
      <c r="T95" s="1" t="s">
        <v>148</v>
      </c>
      <c r="U95" s="1" t="s">
        <v>148</v>
      </c>
      <c r="X95" s="1" t="s">
        <v>148</v>
      </c>
      <c r="Y95" s="1" t="s">
        <v>148</v>
      </c>
      <c r="Z95" s="1" t="s">
        <v>148</v>
      </c>
      <c r="AA95" s="1" t="s">
        <v>148</v>
      </c>
      <c r="AB95" s="1" t="s">
        <v>148</v>
      </c>
      <c r="AC95" s="1" t="s">
        <v>148</v>
      </c>
    </row>
    <row r="96" spans="1:29">
      <c r="B96" s="1" t="s">
        <v>126</v>
      </c>
      <c r="E96" s="4">
        <f>F15</f>
        <v>0.12</v>
      </c>
      <c r="P96" s="7">
        <v>0</v>
      </c>
      <c r="S96" s="10">
        <f>E95</f>
        <v>15000</v>
      </c>
      <c r="U96" s="7">
        <v>0</v>
      </c>
      <c r="X96" s="7">
        <v>0</v>
      </c>
      <c r="AA96" s="10">
        <f>E130-E131</f>
        <v>16000</v>
      </c>
      <c r="AC96" s="7">
        <v>0</v>
      </c>
    </row>
    <row r="97" spans="2:29">
      <c r="B97" s="1" t="s">
        <v>149</v>
      </c>
      <c r="E97" s="7">
        <f>E99</f>
        <v>12</v>
      </c>
      <c r="M97" s="10"/>
      <c r="P97" s="7">
        <f t="shared" ref="P97:P160" si="5">P96+1</f>
        <v>1</v>
      </c>
      <c r="Q97" s="10">
        <f t="shared" ref="Q97:Q160" si="6">IF(S96&lt;0.01,0,+S96*$E$98)</f>
        <v>150</v>
      </c>
      <c r="R97" s="10">
        <f t="shared" ref="R97:R160" si="7">IF(S96&lt;0.01,0,+$E$100-Q97)</f>
        <v>245.00753147891618</v>
      </c>
      <c r="S97" s="10">
        <f t="shared" ref="S97:S160" si="8">IF(S96&lt;=0,0,+S96-R97)</f>
        <v>14754.992468521084</v>
      </c>
      <c r="T97" s="10">
        <f>Q97</f>
        <v>150</v>
      </c>
      <c r="U97" s="10">
        <f>R97</f>
        <v>245.00753147891618</v>
      </c>
      <c r="X97" s="7">
        <f t="shared" ref="X97:X160" si="9">X96+1</f>
        <v>1</v>
      </c>
      <c r="Y97" s="10">
        <f t="shared" ref="Y97:Y160" si="10">IF(AA96&lt;0.01,0,+AA96*$E$133)</f>
        <v>160</v>
      </c>
      <c r="Z97" s="10">
        <f t="shared" ref="Z97:Z160" si="11">IF(AA96&lt;0.01,0,+$E$134-Y97)</f>
        <v>261.34136691084393</v>
      </c>
      <c r="AA97" s="10">
        <f t="shared" ref="AA97:AA160" si="12">IF(AA96&lt;=0,0,+AA96-Z97)</f>
        <v>15738.658633089157</v>
      </c>
      <c r="AB97" s="10">
        <f>Y97</f>
        <v>160</v>
      </c>
      <c r="AC97" s="10">
        <f>Z97</f>
        <v>261.34136691084393</v>
      </c>
    </row>
    <row r="98" spans="2:29">
      <c r="B98" s="1" t="s">
        <v>131</v>
      </c>
      <c r="E98" s="4">
        <f>E96/E97</f>
        <v>0.01</v>
      </c>
      <c r="P98" s="7">
        <f t="shared" si="5"/>
        <v>2</v>
      </c>
      <c r="Q98" s="10">
        <f t="shared" si="6"/>
        <v>147.54992468521084</v>
      </c>
      <c r="R98" s="10">
        <f t="shared" si="7"/>
        <v>247.45760679370534</v>
      </c>
      <c r="S98" s="10">
        <f t="shared" si="8"/>
        <v>14507.534861727379</v>
      </c>
      <c r="T98" s="10">
        <f t="shared" ref="T98:T161" si="13">IF(S97&lt;0.01,0,+T97+Q98)</f>
        <v>297.54992468521084</v>
      </c>
      <c r="U98" s="10">
        <f t="shared" ref="U98:U161" si="14">IF(S97&lt;0.01,0,+U97+R98)</f>
        <v>492.46513827262152</v>
      </c>
      <c r="X98" s="7">
        <f t="shared" si="9"/>
        <v>2</v>
      </c>
      <c r="Y98" s="10">
        <f t="shared" si="10"/>
        <v>157.38658633089156</v>
      </c>
      <c r="Z98" s="10">
        <f t="shared" si="11"/>
        <v>263.9547805799524</v>
      </c>
      <c r="AA98" s="10">
        <f t="shared" si="12"/>
        <v>15474.703852509205</v>
      </c>
      <c r="AB98" s="10">
        <f t="shared" ref="AB98:AB161" si="15">IF(AA97&lt;0.01,0,+AB97+Y98)</f>
        <v>317.38658633089153</v>
      </c>
      <c r="AC98" s="10">
        <f t="shared" ref="AC98:AC161" si="16">IF(AA97&lt;0.01,0,+AC97+Z98)</f>
        <v>525.29614749079633</v>
      </c>
    </row>
    <row r="99" spans="2:29">
      <c r="B99" s="1" t="s">
        <v>129</v>
      </c>
      <c r="E99" s="7">
        <f>F14</f>
        <v>12</v>
      </c>
      <c r="P99" s="7">
        <f t="shared" si="5"/>
        <v>3</v>
      </c>
      <c r="Q99" s="10">
        <f t="shared" si="6"/>
        <v>145.07534861727379</v>
      </c>
      <c r="R99" s="10">
        <f t="shared" si="7"/>
        <v>249.93218286164239</v>
      </c>
      <c r="S99" s="10">
        <f t="shared" si="8"/>
        <v>14257.602678865736</v>
      </c>
      <c r="T99" s="10">
        <f t="shared" si="13"/>
        <v>442.62527330248463</v>
      </c>
      <c r="U99" s="10">
        <f t="shared" si="14"/>
        <v>742.39732113426385</v>
      </c>
      <c r="X99" s="7">
        <f t="shared" si="9"/>
        <v>3</v>
      </c>
      <c r="Y99" s="10">
        <f t="shared" si="10"/>
        <v>154.74703852509205</v>
      </c>
      <c r="Z99" s="10">
        <f t="shared" si="11"/>
        <v>266.59432838575185</v>
      </c>
      <c r="AA99" s="10">
        <f t="shared" si="12"/>
        <v>15208.109524123453</v>
      </c>
      <c r="AB99" s="10">
        <f t="shared" si="15"/>
        <v>472.13362485598361</v>
      </c>
      <c r="AC99" s="10">
        <f t="shared" si="16"/>
        <v>791.89047587654818</v>
      </c>
    </row>
    <row r="100" spans="2:29">
      <c r="B100" s="1" t="s">
        <v>132</v>
      </c>
      <c r="E100" s="17">
        <f>PMT(E98,E92*E99,-E95)</f>
        <v>395.00753147891618</v>
      </c>
      <c r="P100" s="7">
        <f t="shared" si="5"/>
        <v>4</v>
      </c>
      <c r="Q100" s="10">
        <f t="shared" si="6"/>
        <v>142.57602678865737</v>
      </c>
      <c r="R100" s="10">
        <f t="shared" si="7"/>
        <v>252.43150469025881</v>
      </c>
      <c r="S100" s="10">
        <f t="shared" si="8"/>
        <v>14005.171174175477</v>
      </c>
      <c r="T100" s="10">
        <f t="shared" si="13"/>
        <v>585.201300091142</v>
      </c>
      <c r="U100" s="10">
        <f t="shared" si="14"/>
        <v>994.82882582452271</v>
      </c>
      <c r="X100" s="7">
        <f t="shared" si="9"/>
        <v>4</v>
      </c>
      <c r="Y100" s="10">
        <f t="shared" si="10"/>
        <v>152.08109524123452</v>
      </c>
      <c r="Z100" s="10">
        <f t="shared" si="11"/>
        <v>269.26027166960944</v>
      </c>
      <c r="AA100" s="10">
        <f t="shared" si="12"/>
        <v>14938.849252453843</v>
      </c>
      <c r="AB100" s="10">
        <f t="shared" si="15"/>
        <v>624.21472009721811</v>
      </c>
      <c r="AC100" s="10">
        <f t="shared" si="16"/>
        <v>1061.1507475461576</v>
      </c>
    </row>
    <row r="101" spans="2:29">
      <c r="B101" s="1" t="s">
        <v>150</v>
      </c>
      <c r="E101" s="17">
        <f>E100*E99</f>
        <v>4740.0903777469939</v>
      </c>
      <c r="P101" s="7">
        <f t="shared" si="5"/>
        <v>5</v>
      </c>
      <c r="Q101" s="10">
        <f t="shared" si="6"/>
        <v>140.05171174175479</v>
      </c>
      <c r="R101" s="10">
        <f t="shared" si="7"/>
        <v>254.95581973716139</v>
      </c>
      <c r="S101" s="10">
        <f t="shared" si="8"/>
        <v>13750.215354438316</v>
      </c>
      <c r="T101" s="10">
        <f t="shared" si="13"/>
        <v>725.25301183289685</v>
      </c>
      <c r="U101" s="10">
        <f t="shared" si="14"/>
        <v>1249.7846455616841</v>
      </c>
      <c r="X101" s="7">
        <f t="shared" si="9"/>
        <v>5</v>
      </c>
      <c r="Y101" s="10">
        <f t="shared" si="10"/>
        <v>149.38849252453844</v>
      </c>
      <c r="Z101" s="10">
        <f t="shared" si="11"/>
        <v>271.9528743863055</v>
      </c>
      <c r="AA101" s="10">
        <f t="shared" si="12"/>
        <v>14666.896378067539</v>
      </c>
      <c r="AB101" s="10">
        <f t="shared" si="15"/>
        <v>773.60321262175648</v>
      </c>
      <c r="AC101" s="10">
        <f t="shared" si="16"/>
        <v>1333.1036219324631</v>
      </c>
    </row>
    <row r="102" spans="2:29">
      <c r="B102" s="1" t="s">
        <v>134</v>
      </c>
      <c r="E102" s="4">
        <f>G5</f>
        <v>0.38500000000000001</v>
      </c>
      <c r="P102" s="7">
        <f t="shared" si="5"/>
        <v>6</v>
      </c>
      <c r="Q102" s="10">
        <f t="shared" si="6"/>
        <v>137.50215354438316</v>
      </c>
      <c r="R102" s="10">
        <f t="shared" si="7"/>
        <v>257.50537793453304</v>
      </c>
      <c r="S102" s="10">
        <f t="shared" si="8"/>
        <v>13492.709976503784</v>
      </c>
      <c r="T102" s="10">
        <f t="shared" si="13"/>
        <v>862.75516537728004</v>
      </c>
      <c r="U102" s="10">
        <f t="shared" si="14"/>
        <v>1507.2900234962171</v>
      </c>
      <c r="X102" s="7">
        <f t="shared" si="9"/>
        <v>6</v>
      </c>
      <c r="Y102" s="10">
        <f t="shared" si="10"/>
        <v>146.6689637806754</v>
      </c>
      <c r="Z102" s="10">
        <f t="shared" si="11"/>
        <v>274.6724031301685</v>
      </c>
      <c r="AA102" s="10">
        <f t="shared" si="12"/>
        <v>14392.223974937369</v>
      </c>
      <c r="AB102" s="10">
        <f t="shared" si="15"/>
        <v>920.27217640243191</v>
      </c>
      <c r="AC102" s="10">
        <f t="shared" si="16"/>
        <v>1607.7760250626316</v>
      </c>
    </row>
    <row r="103" spans="2:29">
      <c r="B103" s="1" t="s">
        <v>135</v>
      </c>
      <c r="E103" s="4">
        <f>G7</f>
        <v>7.3799999999999991E-2</v>
      </c>
      <c r="P103" s="7">
        <f t="shared" si="5"/>
        <v>7</v>
      </c>
      <c r="Q103" s="10">
        <f t="shared" si="6"/>
        <v>134.92709976503784</v>
      </c>
      <c r="R103" s="10">
        <f t="shared" si="7"/>
        <v>260.08043171387834</v>
      </c>
      <c r="S103" s="10">
        <f t="shared" si="8"/>
        <v>13232.629544789905</v>
      </c>
      <c r="T103" s="10">
        <f t="shared" si="13"/>
        <v>997.68226514231787</v>
      </c>
      <c r="U103" s="10">
        <f t="shared" si="14"/>
        <v>1767.3704552100955</v>
      </c>
      <c r="X103" s="7">
        <f t="shared" si="9"/>
        <v>7</v>
      </c>
      <c r="Y103" s="10">
        <f t="shared" si="10"/>
        <v>143.92223974937369</v>
      </c>
      <c r="Z103" s="10">
        <f t="shared" si="11"/>
        <v>277.41912716147021</v>
      </c>
      <c r="AA103" s="10">
        <f t="shared" si="12"/>
        <v>14114.804847775898</v>
      </c>
      <c r="AB103" s="10">
        <f t="shared" si="15"/>
        <v>1064.1944161518056</v>
      </c>
      <c r="AC103" s="10">
        <f t="shared" si="16"/>
        <v>1885.1951522241018</v>
      </c>
    </row>
    <row r="104" spans="2:29">
      <c r="B104" s="1" t="s">
        <v>151</v>
      </c>
      <c r="E104" s="4">
        <f>G4</f>
        <v>0.18</v>
      </c>
      <c r="P104" s="7">
        <f t="shared" si="5"/>
        <v>8</v>
      </c>
      <c r="Q104" s="10">
        <f t="shared" si="6"/>
        <v>132.32629544789904</v>
      </c>
      <c r="R104" s="10">
        <f t="shared" si="7"/>
        <v>262.68123603101714</v>
      </c>
      <c r="S104" s="10">
        <f t="shared" si="8"/>
        <v>12969.948308758887</v>
      </c>
      <c r="T104" s="10">
        <f t="shared" si="13"/>
        <v>1130.0085605902168</v>
      </c>
      <c r="U104" s="10">
        <f t="shared" si="14"/>
        <v>2030.0516912411126</v>
      </c>
      <c r="X104" s="7">
        <f t="shared" si="9"/>
        <v>8</v>
      </c>
      <c r="Y104" s="10">
        <f t="shared" si="10"/>
        <v>141.14804847775898</v>
      </c>
      <c r="Z104" s="10">
        <f t="shared" si="11"/>
        <v>280.19331843308498</v>
      </c>
      <c r="AA104" s="10">
        <f t="shared" si="12"/>
        <v>13834.611529342814</v>
      </c>
      <c r="AB104" s="10">
        <f t="shared" si="15"/>
        <v>1205.3424646295646</v>
      </c>
      <c r="AC104" s="10">
        <f t="shared" si="16"/>
        <v>2165.3884706571866</v>
      </c>
    </row>
    <row r="105" spans="2:29">
      <c r="P105" s="7">
        <f t="shared" si="5"/>
        <v>9</v>
      </c>
      <c r="Q105" s="10">
        <f t="shared" si="6"/>
        <v>129.69948308758887</v>
      </c>
      <c r="R105" s="10">
        <f t="shared" si="7"/>
        <v>265.3080483913273</v>
      </c>
      <c r="S105" s="10">
        <f t="shared" si="8"/>
        <v>12704.64026036756</v>
      </c>
      <c r="T105" s="10">
        <f t="shared" si="13"/>
        <v>1259.7080436778056</v>
      </c>
      <c r="U105" s="10">
        <f t="shared" si="14"/>
        <v>2295.3597396324399</v>
      </c>
      <c r="X105" s="7">
        <f t="shared" si="9"/>
        <v>9</v>
      </c>
      <c r="Y105" s="10">
        <f t="shared" si="10"/>
        <v>138.34611529342814</v>
      </c>
      <c r="Z105" s="10">
        <f t="shared" si="11"/>
        <v>282.99525161741576</v>
      </c>
      <c r="AA105" s="10">
        <f t="shared" si="12"/>
        <v>13551.616277725398</v>
      </c>
      <c r="AB105" s="10">
        <f t="shared" si="15"/>
        <v>1343.6885799229926</v>
      </c>
      <c r="AC105" s="10">
        <f t="shared" si="16"/>
        <v>2448.3837222746024</v>
      </c>
    </row>
    <row r="106" spans="2:29">
      <c r="B106" s="1" t="s">
        <v>152</v>
      </c>
      <c r="D106" s="7">
        <v>0</v>
      </c>
      <c r="E106" s="7">
        <v>1</v>
      </c>
      <c r="F106" s="7">
        <v>2</v>
      </c>
      <c r="G106" s="7">
        <v>3</v>
      </c>
      <c r="H106" s="7">
        <v>4</v>
      </c>
      <c r="I106" s="7">
        <v>5</v>
      </c>
      <c r="J106" s="7">
        <v>6</v>
      </c>
      <c r="K106" s="7">
        <v>7</v>
      </c>
      <c r="L106" s="7">
        <v>8</v>
      </c>
      <c r="M106" s="7">
        <v>9</v>
      </c>
      <c r="N106" s="7">
        <v>10</v>
      </c>
      <c r="P106" s="7">
        <f t="shared" si="5"/>
        <v>10</v>
      </c>
      <c r="Q106" s="10">
        <f t="shared" si="6"/>
        <v>127.0464026036756</v>
      </c>
      <c r="R106" s="10">
        <f t="shared" si="7"/>
        <v>267.96112887524055</v>
      </c>
      <c r="S106" s="10">
        <f t="shared" si="8"/>
        <v>12436.679131492319</v>
      </c>
      <c r="T106" s="10">
        <f t="shared" si="13"/>
        <v>1386.7544462814813</v>
      </c>
      <c r="U106" s="10">
        <f t="shared" si="14"/>
        <v>2563.3208685076806</v>
      </c>
      <c r="X106" s="7">
        <f t="shared" si="9"/>
        <v>10</v>
      </c>
      <c r="Y106" s="10">
        <f t="shared" si="10"/>
        <v>135.51616277725398</v>
      </c>
      <c r="Z106" s="10">
        <f t="shared" si="11"/>
        <v>285.82520413358998</v>
      </c>
      <c r="AA106" s="10">
        <f t="shared" si="12"/>
        <v>13265.791073591809</v>
      </c>
      <c r="AB106" s="10">
        <f t="shared" si="15"/>
        <v>1479.2047427002467</v>
      </c>
      <c r="AC106" s="10">
        <f t="shared" si="16"/>
        <v>2734.2089264081924</v>
      </c>
    </row>
    <row r="107" spans="2:29">
      <c r="B107" s="1" t="s">
        <v>136</v>
      </c>
      <c r="C107" s="1" t="s">
        <v>136</v>
      </c>
      <c r="D107" s="1" t="s">
        <v>136</v>
      </c>
      <c r="E107" s="1" t="s">
        <v>136</v>
      </c>
      <c r="F107" s="1" t="s">
        <v>136</v>
      </c>
      <c r="G107" s="1" t="s">
        <v>136</v>
      </c>
      <c r="H107" s="1" t="s">
        <v>136</v>
      </c>
      <c r="I107" s="1" t="s">
        <v>136</v>
      </c>
      <c r="J107" s="1" t="s">
        <v>136</v>
      </c>
      <c r="K107" s="1" t="s">
        <v>136</v>
      </c>
      <c r="L107" s="1" t="s">
        <v>136</v>
      </c>
      <c r="M107" s="1" t="s">
        <v>136</v>
      </c>
      <c r="N107" s="1" t="s">
        <v>26</v>
      </c>
      <c r="P107" s="7">
        <f t="shared" si="5"/>
        <v>11</v>
      </c>
      <c r="Q107" s="10">
        <f t="shared" si="6"/>
        <v>124.36679131492319</v>
      </c>
      <c r="R107" s="10">
        <f t="shared" si="7"/>
        <v>270.64074016399297</v>
      </c>
      <c r="S107" s="10">
        <f t="shared" si="8"/>
        <v>12166.038391328326</v>
      </c>
      <c r="T107" s="10">
        <f t="shared" si="13"/>
        <v>1511.1212375964044</v>
      </c>
      <c r="U107" s="10">
        <f t="shared" si="14"/>
        <v>2833.9616086716737</v>
      </c>
      <c r="X107" s="7">
        <f t="shared" si="9"/>
        <v>11</v>
      </c>
      <c r="Y107" s="10">
        <f t="shared" si="10"/>
        <v>132.65791073591808</v>
      </c>
      <c r="Z107" s="10">
        <f t="shared" si="11"/>
        <v>288.68345617492582</v>
      </c>
      <c r="AA107" s="10">
        <f t="shared" si="12"/>
        <v>12977.107617416883</v>
      </c>
      <c r="AB107" s="10">
        <f t="shared" si="15"/>
        <v>1611.8626534361647</v>
      </c>
      <c r="AC107" s="10">
        <f t="shared" si="16"/>
        <v>3022.892382583118</v>
      </c>
    </row>
    <row r="108" spans="2:29">
      <c r="B108" s="1" t="s">
        <v>91</v>
      </c>
      <c r="D108" s="7">
        <f>E90</f>
        <v>500</v>
      </c>
      <c r="P108" s="7">
        <f t="shared" si="5"/>
        <v>12</v>
      </c>
      <c r="Q108" s="10">
        <f t="shared" si="6"/>
        <v>121.66038391328325</v>
      </c>
      <c r="R108" s="10">
        <f t="shared" si="7"/>
        <v>273.34714756563289</v>
      </c>
      <c r="S108" s="10">
        <f t="shared" si="8"/>
        <v>11892.691243762692</v>
      </c>
      <c r="T108" s="10">
        <f t="shared" si="13"/>
        <v>1632.7816215096877</v>
      </c>
      <c r="U108" s="10">
        <f t="shared" si="14"/>
        <v>3107.3087562373066</v>
      </c>
      <c r="X108" s="7">
        <f t="shared" si="9"/>
        <v>12</v>
      </c>
      <c r="Y108" s="10">
        <f t="shared" si="10"/>
        <v>129.77107617416883</v>
      </c>
      <c r="Z108" s="10">
        <f t="shared" si="11"/>
        <v>291.57029073667513</v>
      </c>
      <c r="AA108" s="10">
        <f t="shared" si="12"/>
        <v>12685.537326680207</v>
      </c>
      <c r="AB108" s="10">
        <f t="shared" si="15"/>
        <v>1741.6337296103336</v>
      </c>
      <c r="AC108" s="10">
        <f t="shared" si="16"/>
        <v>3314.4626733197929</v>
      </c>
    </row>
    <row r="109" spans="2:29">
      <c r="B109" s="1" t="s">
        <v>123</v>
      </c>
      <c r="D109" s="7">
        <f>E91*E95</f>
        <v>60</v>
      </c>
      <c r="P109" s="7">
        <f t="shared" si="5"/>
        <v>13</v>
      </c>
      <c r="Q109" s="10">
        <f t="shared" si="6"/>
        <v>118.92691243762692</v>
      </c>
      <c r="R109" s="10">
        <f t="shared" si="7"/>
        <v>276.08061904128925</v>
      </c>
      <c r="S109" s="10">
        <f t="shared" si="8"/>
        <v>11616.610624721403</v>
      </c>
      <c r="T109" s="10">
        <f t="shared" si="13"/>
        <v>1751.7085339473147</v>
      </c>
      <c r="U109" s="10">
        <f t="shared" si="14"/>
        <v>3383.3893752785957</v>
      </c>
      <c r="X109" s="7">
        <f t="shared" si="9"/>
        <v>13</v>
      </c>
      <c r="Y109" s="10">
        <f t="shared" si="10"/>
        <v>126.85537326680208</v>
      </c>
      <c r="Z109" s="10">
        <f t="shared" si="11"/>
        <v>294.48599364404186</v>
      </c>
      <c r="AA109" s="10">
        <f t="shared" si="12"/>
        <v>12391.051333036165</v>
      </c>
      <c r="AB109" s="10">
        <f t="shared" si="15"/>
        <v>1868.4891028771358</v>
      </c>
      <c r="AC109" s="10">
        <f t="shared" si="16"/>
        <v>3608.9486669638345</v>
      </c>
    </row>
    <row r="110" spans="2:29">
      <c r="B110" s="1" t="s">
        <v>153</v>
      </c>
      <c r="D110" s="7">
        <f>E94</f>
        <v>5000</v>
      </c>
      <c r="P110" s="7">
        <f t="shared" si="5"/>
        <v>14</v>
      </c>
      <c r="Q110" s="10">
        <f t="shared" si="6"/>
        <v>116.16610624721403</v>
      </c>
      <c r="R110" s="10">
        <f t="shared" si="7"/>
        <v>278.84142523170215</v>
      </c>
      <c r="S110" s="10">
        <f t="shared" si="8"/>
        <v>11337.769199489701</v>
      </c>
      <c r="T110" s="10">
        <f t="shared" si="13"/>
        <v>1867.8746401945286</v>
      </c>
      <c r="U110" s="10">
        <f t="shared" si="14"/>
        <v>3662.2308005102977</v>
      </c>
      <c r="X110" s="7">
        <f t="shared" si="9"/>
        <v>14</v>
      </c>
      <c r="Y110" s="10">
        <f t="shared" si="10"/>
        <v>123.91051333036165</v>
      </c>
      <c r="Z110" s="10">
        <f t="shared" si="11"/>
        <v>297.43085358048228</v>
      </c>
      <c r="AA110" s="10">
        <f t="shared" si="12"/>
        <v>12093.620479455682</v>
      </c>
      <c r="AB110" s="10">
        <f t="shared" si="15"/>
        <v>1992.3996162074975</v>
      </c>
      <c r="AC110" s="10">
        <f t="shared" si="16"/>
        <v>3906.3795205443166</v>
      </c>
    </row>
    <row r="111" spans="2:29">
      <c r="B111" s="1" t="s">
        <v>154</v>
      </c>
      <c r="D111" s="8">
        <v>0</v>
      </c>
      <c r="E111" s="8">
        <f t="shared" ref="E111:N111" si="17">IF(E$106&lt;=$E$92,INDEX($R$96:$V$216,$E$99*E$106+1,5)-INDEX($R$96:$V$216,$E$99*D$106+1,5),0)</f>
        <v>0</v>
      </c>
      <c r="F111" s="8">
        <f t="shared" si="17"/>
        <v>3501.3932828764355</v>
      </c>
      <c r="G111" s="8">
        <f t="shared" si="17"/>
        <v>444.06430860468481</v>
      </c>
      <c r="H111" s="8">
        <f t="shared" si="17"/>
        <v>-3945.4575914811203</v>
      </c>
      <c r="I111" s="8">
        <f t="shared" si="17"/>
        <v>0</v>
      </c>
      <c r="J111" s="8">
        <f t="shared" si="17"/>
        <v>0</v>
      </c>
      <c r="K111" s="8">
        <f t="shared" si="17"/>
        <v>0</v>
      </c>
      <c r="L111" s="8">
        <f t="shared" si="17"/>
        <v>0</v>
      </c>
      <c r="M111" s="8">
        <f t="shared" si="17"/>
        <v>0</v>
      </c>
      <c r="N111" s="8">
        <f t="shared" si="17"/>
        <v>0</v>
      </c>
      <c r="P111" s="7">
        <f t="shared" si="5"/>
        <v>15</v>
      </c>
      <c r="Q111" s="10">
        <f t="shared" si="6"/>
        <v>113.37769199489702</v>
      </c>
      <c r="R111" s="10">
        <f t="shared" si="7"/>
        <v>281.62983948401916</v>
      </c>
      <c r="S111" s="10">
        <f t="shared" si="8"/>
        <v>11056.139360005682</v>
      </c>
      <c r="T111" s="10">
        <f t="shared" si="13"/>
        <v>1981.2523321894257</v>
      </c>
      <c r="U111" s="10">
        <f t="shared" si="14"/>
        <v>3943.8606399943169</v>
      </c>
      <c r="X111" s="7">
        <f t="shared" si="9"/>
        <v>15</v>
      </c>
      <c r="Y111" s="10">
        <f t="shared" si="10"/>
        <v>120.93620479455682</v>
      </c>
      <c r="Z111" s="10">
        <f t="shared" si="11"/>
        <v>300.4051621162871</v>
      </c>
      <c r="AA111" s="10">
        <f t="shared" si="12"/>
        <v>11793.215317339394</v>
      </c>
      <c r="AB111" s="10">
        <f t="shared" si="15"/>
        <v>2113.3358210020542</v>
      </c>
      <c r="AC111" s="10">
        <f t="shared" si="16"/>
        <v>4206.7846826606037</v>
      </c>
    </row>
    <row r="112" spans="2:29">
      <c r="B112" s="1" t="s">
        <v>155</v>
      </c>
      <c r="D112" s="8"/>
      <c r="E112" s="8">
        <f t="shared" ref="E112:N112" si="18">IF(E$106&lt;=$E$92,INDEX($R$96:$V$216,$E$99*E$106+1,4)-INDEX($R$96:$V$216,$E$99*D$106+1,4),0)</f>
        <v>3107.3087562373066</v>
      </c>
      <c r="F112" s="8">
        <f t="shared" si="18"/>
        <v>3501.3932828764355</v>
      </c>
      <c r="G112" s="8">
        <f t="shared" si="18"/>
        <v>3945.4575914811203</v>
      </c>
      <c r="H112" s="8">
        <f t="shared" si="18"/>
        <v>4445.8403694051176</v>
      </c>
      <c r="I112" s="8">
        <f t="shared" si="18"/>
        <v>0</v>
      </c>
      <c r="J112" s="8">
        <f t="shared" si="18"/>
        <v>0</v>
      </c>
      <c r="K112" s="8">
        <f t="shared" si="18"/>
        <v>0</v>
      </c>
      <c r="L112" s="8">
        <f t="shared" si="18"/>
        <v>0</v>
      </c>
      <c r="M112" s="8">
        <f t="shared" si="18"/>
        <v>0</v>
      </c>
      <c r="N112" s="8">
        <f t="shared" si="18"/>
        <v>0</v>
      </c>
      <c r="P112" s="7">
        <f t="shared" si="5"/>
        <v>16</v>
      </c>
      <c r="Q112" s="10">
        <f t="shared" si="6"/>
        <v>110.56139360005682</v>
      </c>
      <c r="R112" s="10">
        <f t="shared" si="7"/>
        <v>284.44613787885936</v>
      </c>
      <c r="S112" s="10">
        <f t="shared" si="8"/>
        <v>10771.693222126822</v>
      </c>
      <c r="T112" s="10">
        <f t="shared" si="13"/>
        <v>2091.8137257894823</v>
      </c>
      <c r="U112" s="10">
        <f t="shared" si="14"/>
        <v>4228.3067778731765</v>
      </c>
      <c r="X112" s="7">
        <f t="shared" si="9"/>
        <v>16</v>
      </c>
      <c r="Y112" s="10">
        <f t="shared" si="10"/>
        <v>117.93215317339394</v>
      </c>
      <c r="Z112" s="10">
        <f t="shared" si="11"/>
        <v>303.40921373744999</v>
      </c>
      <c r="AA112" s="10">
        <f t="shared" si="12"/>
        <v>11489.806103601944</v>
      </c>
      <c r="AB112" s="10">
        <f t="shared" si="15"/>
        <v>2231.2679741754482</v>
      </c>
      <c r="AC112" s="10">
        <f t="shared" si="16"/>
        <v>4510.1938963980538</v>
      </c>
    </row>
    <row r="113" spans="1:3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P113" s="7">
        <f t="shared" si="5"/>
        <v>17</v>
      </c>
      <c r="Q113" s="10">
        <f t="shared" si="6"/>
        <v>107.71693222126822</v>
      </c>
      <c r="R113" s="10">
        <f t="shared" si="7"/>
        <v>287.29059925764795</v>
      </c>
      <c r="S113" s="10">
        <f t="shared" si="8"/>
        <v>10484.402622869173</v>
      </c>
      <c r="T113" s="10">
        <f t="shared" si="13"/>
        <v>2199.5306580107504</v>
      </c>
      <c r="U113" s="10">
        <f t="shared" si="14"/>
        <v>4515.5973771308245</v>
      </c>
      <c r="X113" s="7">
        <f t="shared" si="9"/>
        <v>17</v>
      </c>
      <c r="Y113" s="10">
        <f t="shared" si="10"/>
        <v>114.89806103601944</v>
      </c>
      <c r="Z113" s="10">
        <f t="shared" si="11"/>
        <v>306.44330587482449</v>
      </c>
      <c r="AA113" s="10">
        <f t="shared" si="12"/>
        <v>11183.362797727121</v>
      </c>
      <c r="AB113" s="10">
        <f t="shared" si="15"/>
        <v>2346.1660352114677</v>
      </c>
      <c r="AC113" s="10">
        <f t="shared" si="16"/>
        <v>4816.6372022728783</v>
      </c>
    </row>
    <row r="114" spans="1:30">
      <c r="B114" s="1" t="s">
        <v>156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P114" s="7">
        <f t="shared" si="5"/>
        <v>18</v>
      </c>
      <c r="Q114" s="10">
        <f t="shared" si="6"/>
        <v>104.84402622869173</v>
      </c>
      <c r="R114" s="10">
        <f t="shared" si="7"/>
        <v>290.16350525022443</v>
      </c>
      <c r="S114" s="10">
        <f t="shared" si="8"/>
        <v>10194.239117618949</v>
      </c>
      <c r="T114" s="10">
        <f t="shared" si="13"/>
        <v>2304.3746842394421</v>
      </c>
      <c r="U114" s="10">
        <f t="shared" si="14"/>
        <v>4805.7608823810488</v>
      </c>
      <c r="X114" s="7">
        <f t="shared" si="9"/>
        <v>18</v>
      </c>
      <c r="Y114" s="10">
        <f t="shared" si="10"/>
        <v>111.83362797727121</v>
      </c>
      <c r="Z114" s="10">
        <f t="shared" si="11"/>
        <v>309.50773893357274</v>
      </c>
      <c r="AA114" s="10">
        <f t="shared" si="12"/>
        <v>10873.855058793548</v>
      </c>
      <c r="AB114" s="10">
        <f t="shared" si="15"/>
        <v>2457.9996631887389</v>
      </c>
      <c r="AC114" s="10">
        <f t="shared" si="16"/>
        <v>5126.1449412064512</v>
      </c>
    </row>
    <row r="115" spans="1:30">
      <c r="B115" s="1" t="s">
        <v>157</v>
      </c>
      <c r="D115" s="8"/>
      <c r="E115" s="8"/>
      <c r="F115" s="8">
        <f t="shared" ref="F115:N115" si="19">IF(F106&lt;=$E$92+1,+E112*$E$102,0)</f>
        <v>1196.3138711513632</v>
      </c>
      <c r="G115" s="8">
        <f t="shared" si="19"/>
        <v>1348.0364139074277</v>
      </c>
      <c r="H115" s="8">
        <f t="shared" si="19"/>
        <v>1519.0011727202314</v>
      </c>
      <c r="I115" s="8">
        <f t="shared" si="19"/>
        <v>1711.6485422209703</v>
      </c>
      <c r="J115" s="8">
        <f t="shared" si="19"/>
        <v>0</v>
      </c>
      <c r="K115" s="8">
        <f t="shared" si="19"/>
        <v>0</v>
      </c>
      <c r="L115" s="8">
        <f t="shared" si="19"/>
        <v>0</v>
      </c>
      <c r="M115" s="8">
        <f t="shared" si="19"/>
        <v>0</v>
      </c>
      <c r="N115" s="8">
        <f t="shared" si="19"/>
        <v>0</v>
      </c>
      <c r="P115" s="7">
        <f t="shared" si="5"/>
        <v>19</v>
      </c>
      <c r="Q115" s="10">
        <f t="shared" si="6"/>
        <v>101.94239117618949</v>
      </c>
      <c r="R115" s="10">
        <f t="shared" si="7"/>
        <v>293.06514030272672</v>
      </c>
      <c r="S115" s="10">
        <f t="shared" si="8"/>
        <v>9901.1739773162226</v>
      </c>
      <c r="T115" s="10">
        <f t="shared" si="13"/>
        <v>2406.3170754156317</v>
      </c>
      <c r="U115" s="10">
        <f t="shared" si="14"/>
        <v>5098.8260226837756</v>
      </c>
      <c r="X115" s="7">
        <f t="shared" si="9"/>
        <v>19</v>
      </c>
      <c r="Y115" s="10">
        <f t="shared" si="10"/>
        <v>108.73855058793548</v>
      </c>
      <c r="Z115" s="10">
        <f t="shared" si="11"/>
        <v>312.60281632290844</v>
      </c>
      <c r="AA115" s="10">
        <f t="shared" si="12"/>
        <v>10561.25224247064</v>
      </c>
      <c r="AB115" s="10">
        <f t="shared" si="15"/>
        <v>2566.7382137766745</v>
      </c>
      <c r="AC115" s="10">
        <f t="shared" si="16"/>
        <v>5438.7477575293597</v>
      </c>
    </row>
    <row r="116" spans="1:30">
      <c r="B116" s="1" t="s">
        <v>158</v>
      </c>
      <c r="D116" s="8"/>
      <c r="E116" s="8"/>
      <c r="F116" s="8">
        <f t="shared" ref="F116:N116" si="20">IF((1/$E$104-F106+2)&lt;0,0,IF(1/$E$104-F106+2&lt;1,+$E$95*$E$104*$E$102*(1/$E$104-F106+2),$E$95*$E$104*$E$102))</f>
        <v>1039.5</v>
      </c>
      <c r="G116" s="8">
        <f t="shared" si="20"/>
        <v>1039.5</v>
      </c>
      <c r="H116" s="8">
        <f t="shared" si="20"/>
        <v>1039.5</v>
      </c>
      <c r="I116" s="8">
        <f t="shared" si="20"/>
        <v>1039.5</v>
      </c>
      <c r="J116" s="8">
        <f t="shared" si="20"/>
        <v>1039.5</v>
      </c>
      <c r="K116" s="8">
        <f t="shared" si="20"/>
        <v>577.49999999999977</v>
      </c>
      <c r="L116" s="8">
        <f t="shared" si="20"/>
        <v>0</v>
      </c>
      <c r="M116" s="8">
        <f t="shared" si="20"/>
        <v>0</v>
      </c>
      <c r="N116" s="8">
        <f t="shared" si="20"/>
        <v>0</v>
      </c>
      <c r="O116" s="7">
        <f>SUM(F116:N116)</f>
        <v>5775</v>
      </c>
      <c r="P116" s="7">
        <f t="shared" si="5"/>
        <v>20</v>
      </c>
      <c r="Q116" s="10">
        <f t="shared" si="6"/>
        <v>99.011739773162233</v>
      </c>
      <c r="R116" s="10">
        <f t="shared" si="7"/>
        <v>295.99579170575396</v>
      </c>
      <c r="S116" s="10">
        <f t="shared" si="8"/>
        <v>9605.1781856104681</v>
      </c>
      <c r="T116" s="10">
        <f t="shared" si="13"/>
        <v>2505.3288151887941</v>
      </c>
      <c r="U116" s="10">
        <f t="shared" si="14"/>
        <v>5394.8218143895292</v>
      </c>
      <c r="X116" s="7">
        <f t="shared" si="9"/>
        <v>20</v>
      </c>
      <c r="Y116" s="10">
        <f t="shared" si="10"/>
        <v>105.61252242470641</v>
      </c>
      <c r="Z116" s="10">
        <f t="shared" si="11"/>
        <v>315.72884448613752</v>
      </c>
      <c r="AA116" s="10">
        <f t="shared" si="12"/>
        <v>10245.523397984503</v>
      </c>
      <c r="AB116" s="10">
        <f t="shared" si="15"/>
        <v>2672.3507362013806</v>
      </c>
      <c r="AC116" s="10">
        <f t="shared" si="16"/>
        <v>5754.4766020154975</v>
      </c>
    </row>
    <row r="117" spans="1:30">
      <c r="B117" s="1" t="s">
        <v>136</v>
      </c>
      <c r="C117" s="1" t="s">
        <v>136</v>
      </c>
      <c r="D117" s="1" t="s">
        <v>136</v>
      </c>
      <c r="E117" s="1" t="s">
        <v>136</v>
      </c>
      <c r="F117" s="1" t="s">
        <v>136</v>
      </c>
      <c r="G117" s="1" t="s">
        <v>136</v>
      </c>
      <c r="H117" s="1" t="s">
        <v>136</v>
      </c>
      <c r="I117" s="1" t="s">
        <v>136</v>
      </c>
      <c r="J117" s="1" t="s">
        <v>136</v>
      </c>
      <c r="K117" s="1" t="s">
        <v>136</v>
      </c>
      <c r="L117" s="1" t="s">
        <v>136</v>
      </c>
      <c r="M117" s="1" t="s">
        <v>136</v>
      </c>
      <c r="N117" s="1" t="s">
        <v>26</v>
      </c>
      <c r="P117" s="7">
        <f t="shared" si="5"/>
        <v>21</v>
      </c>
      <c r="Q117" s="10">
        <f t="shared" si="6"/>
        <v>96.051781856104682</v>
      </c>
      <c r="R117" s="10">
        <f t="shared" si="7"/>
        <v>298.95574962281148</v>
      </c>
      <c r="S117" s="10">
        <f t="shared" si="8"/>
        <v>9306.2224359876564</v>
      </c>
      <c r="T117" s="10">
        <f t="shared" si="13"/>
        <v>2601.3805970448989</v>
      </c>
      <c r="U117" s="10">
        <f t="shared" si="14"/>
        <v>5693.7775640123409</v>
      </c>
      <c r="X117" s="7">
        <f t="shared" si="9"/>
        <v>21</v>
      </c>
      <c r="Y117" s="10">
        <f t="shared" si="10"/>
        <v>102.45523397984503</v>
      </c>
      <c r="Z117" s="10">
        <f t="shared" si="11"/>
        <v>318.88613293099888</v>
      </c>
      <c r="AA117" s="10">
        <f t="shared" si="12"/>
        <v>9926.637265053505</v>
      </c>
      <c r="AB117" s="10">
        <f t="shared" si="15"/>
        <v>2774.8059701812258</v>
      </c>
      <c r="AC117" s="10">
        <f t="shared" si="16"/>
        <v>6073.3627349464969</v>
      </c>
    </row>
    <row r="118" spans="1:30">
      <c r="D118" s="8">
        <f>SUM(D108:D112)-SUM(D115:D116)</f>
        <v>5560</v>
      </c>
      <c r="E118" s="8">
        <f t="shared" ref="E118:N118" si="21">SUM(E111:E112)-SUM(E115:E116)</f>
        <v>3107.3087562373066</v>
      </c>
      <c r="F118" s="8">
        <f t="shared" si="21"/>
        <v>4766.972694601508</v>
      </c>
      <c r="G118" s="8">
        <f t="shared" si="21"/>
        <v>2001.9854861783774</v>
      </c>
      <c r="H118" s="8">
        <f t="shared" si="21"/>
        <v>-2058.118394796234</v>
      </c>
      <c r="I118" s="8">
        <f t="shared" si="21"/>
        <v>-2751.1485422209703</v>
      </c>
      <c r="J118" s="8">
        <f t="shared" si="21"/>
        <v>-1039.5</v>
      </c>
      <c r="K118" s="8">
        <f t="shared" si="21"/>
        <v>-577.49999999999977</v>
      </c>
      <c r="L118" s="8">
        <f t="shared" si="21"/>
        <v>0</v>
      </c>
      <c r="M118" s="8">
        <f t="shared" si="21"/>
        <v>0</v>
      </c>
      <c r="N118" s="8">
        <f t="shared" si="21"/>
        <v>0</v>
      </c>
      <c r="P118" s="7">
        <f t="shared" si="5"/>
        <v>22</v>
      </c>
      <c r="Q118" s="10">
        <f t="shared" si="6"/>
        <v>93.062224359876566</v>
      </c>
      <c r="R118" s="10">
        <f t="shared" si="7"/>
        <v>301.94530711903963</v>
      </c>
      <c r="S118" s="10">
        <f t="shared" si="8"/>
        <v>9004.2771288686163</v>
      </c>
      <c r="T118" s="10">
        <f t="shared" si="13"/>
        <v>2694.4428214047753</v>
      </c>
      <c r="U118" s="10">
        <f t="shared" si="14"/>
        <v>5995.7228711313801</v>
      </c>
      <c r="X118" s="7">
        <f t="shared" si="9"/>
        <v>22</v>
      </c>
      <c r="Y118" s="10">
        <f t="shared" si="10"/>
        <v>99.266372650535047</v>
      </c>
      <c r="Z118" s="10">
        <f t="shared" si="11"/>
        <v>322.07499426030887</v>
      </c>
      <c r="AA118" s="10">
        <f t="shared" si="12"/>
        <v>9604.5622707931961</v>
      </c>
      <c r="AB118" s="10">
        <f t="shared" si="15"/>
        <v>2874.072342831761</v>
      </c>
      <c r="AC118" s="10">
        <f t="shared" si="16"/>
        <v>6395.4377292068057</v>
      </c>
    </row>
    <row r="119" spans="1:30">
      <c r="B119" s="1" t="s">
        <v>106</v>
      </c>
      <c r="C119" s="1" t="s">
        <v>106</v>
      </c>
      <c r="D119" s="1" t="s">
        <v>106</v>
      </c>
      <c r="E119" s="1" t="s">
        <v>106</v>
      </c>
      <c r="F119" s="1" t="s">
        <v>106</v>
      </c>
      <c r="G119" s="1" t="s">
        <v>106</v>
      </c>
      <c r="H119" s="1" t="s">
        <v>106</v>
      </c>
      <c r="I119" s="1" t="s">
        <v>107</v>
      </c>
      <c r="J119" s="1" t="s">
        <v>107</v>
      </c>
      <c r="K119" s="1" t="s">
        <v>107</v>
      </c>
      <c r="L119" s="1" t="s">
        <v>107</v>
      </c>
      <c r="M119" s="1" t="s">
        <v>107</v>
      </c>
      <c r="N119" s="1" t="s">
        <v>107</v>
      </c>
      <c r="P119" s="7">
        <f t="shared" si="5"/>
        <v>23</v>
      </c>
      <c r="Q119" s="10">
        <f t="shared" si="6"/>
        <v>90.042771288686168</v>
      </c>
      <c r="R119" s="10">
        <f t="shared" si="7"/>
        <v>304.96476019022998</v>
      </c>
      <c r="S119" s="10">
        <f t="shared" si="8"/>
        <v>8699.3123686783856</v>
      </c>
      <c r="T119" s="10">
        <f t="shared" si="13"/>
        <v>2784.4855926934615</v>
      </c>
      <c r="U119" s="10">
        <f t="shared" si="14"/>
        <v>6300.6876313216098</v>
      </c>
      <c r="X119" s="7">
        <f t="shared" si="9"/>
        <v>23</v>
      </c>
      <c r="Y119" s="10">
        <f t="shared" si="10"/>
        <v>96.045622707931969</v>
      </c>
      <c r="Z119" s="10">
        <f t="shared" si="11"/>
        <v>325.29574420291198</v>
      </c>
      <c r="AA119" s="10">
        <f t="shared" si="12"/>
        <v>9279.2665265902833</v>
      </c>
      <c r="AB119" s="10">
        <f t="shared" si="15"/>
        <v>2970.1179655396932</v>
      </c>
      <c r="AC119" s="10">
        <f t="shared" si="16"/>
        <v>6720.7334734097176</v>
      </c>
    </row>
    <row r="120" spans="1:30">
      <c r="P120" s="7">
        <f t="shared" si="5"/>
        <v>24</v>
      </c>
      <c r="Q120" s="10">
        <f t="shared" si="6"/>
        <v>86.993123686783861</v>
      </c>
      <c r="R120" s="10">
        <f t="shared" si="7"/>
        <v>308.01440779213232</v>
      </c>
      <c r="S120" s="10">
        <f t="shared" si="8"/>
        <v>8391.2979608862533</v>
      </c>
      <c r="T120" s="10">
        <f t="shared" si="13"/>
        <v>2871.4787163802453</v>
      </c>
      <c r="U120" s="10">
        <f t="shared" si="14"/>
        <v>6608.7020391137421</v>
      </c>
      <c r="V120" s="7">
        <f>U120-U108</f>
        <v>3501.3932828764355</v>
      </c>
      <c r="X120" s="7">
        <f t="shared" si="9"/>
        <v>24</v>
      </c>
      <c r="Y120" s="10">
        <f t="shared" si="10"/>
        <v>92.792665265902841</v>
      </c>
      <c r="Z120" s="10">
        <f t="shared" si="11"/>
        <v>328.5487016449411</v>
      </c>
      <c r="AA120" s="10">
        <f t="shared" si="12"/>
        <v>8950.7178249453427</v>
      </c>
      <c r="AB120" s="10">
        <f t="shared" si="15"/>
        <v>3062.9106308055962</v>
      </c>
      <c r="AC120" s="10">
        <f t="shared" si="16"/>
        <v>7049.2821750546591</v>
      </c>
      <c r="AD120" s="7">
        <f>AC120-AC108</f>
        <v>3734.8195017348662</v>
      </c>
    </row>
    <row r="121" spans="1:30">
      <c r="B121" s="1" t="s">
        <v>143</v>
      </c>
      <c r="E121" s="17">
        <f>NPV(E103,D118:N118)</f>
        <v>9034.1992594880903</v>
      </c>
      <c r="P121" s="7">
        <f t="shared" si="5"/>
        <v>25</v>
      </c>
      <c r="Q121" s="10">
        <f t="shared" si="6"/>
        <v>83.912979608862528</v>
      </c>
      <c r="R121" s="10">
        <f t="shared" si="7"/>
        <v>311.09455187005364</v>
      </c>
      <c r="S121" s="10">
        <f t="shared" si="8"/>
        <v>8080.2034090161997</v>
      </c>
      <c r="T121" s="10">
        <f t="shared" si="13"/>
        <v>2955.3916959891076</v>
      </c>
      <c r="U121" s="10">
        <f t="shared" si="14"/>
        <v>6919.7965909837958</v>
      </c>
      <c r="X121" s="7">
        <f t="shared" si="9"/>
        <v>25</v>
      </c>
      <c r="Y121" s="10">
        <f t="shared" si="10"/>
        <v>89.507178249453432</v>
      </c>
      <c r="Z121" s="10">
        <f t="shared" si="11"/>
        <v>331.8341886613905</v>
      </c>
      <c r="AA121" s="10">
        <f t="shared" si="12"/>
        <v>8618.883636283952</v>
      </c>
      <c r="AB121" s="10">
        <f t="shared" si="15"/>
        <v>3152.4178090550495</v>
      </c>
      <c r="AC121" s="10">
        <f t="shared" si="16"/>
        <v>7381.1163637160498</v>
      </c>
    </row>
    <row r="122" spans="1:30">
      <c r="B122" s="1" t="s">
        <v>106</v>
      </c>
      <c r="C122" s="1" t="s">
        <v>106</v>
      </c>
      <c r="D122" s="1" t="s">
        <v>106</v>
      </c>
      <c r="E122" s="1" t="s">
        <v>107</v>
      </c>
      <c r="P122" s="7">
        <f t="shared" si="5"/>
        <v>26</v>
      </c>
      <c r="Q122" s="10">
        <f t="shared" si="6"/>
        <v>80.802034090161996</v>
      </c>
      <c r="R122" s="10">
        <f t="shared" si="7"/>
        <v>314.20549738875417</v>
      </c>
      <c r="S122" s="10">
        <f t="shared" si="8"/>
        <v>7765.9979116274453</v>
      </c>
      <c r="T122" s="10">
        <f t="shared" si="13"/>
        <v>3036.1937300792697</v>
      </c>
      <c r="U122" s="10">
        <f t="shared" si="14"/>
        <v>7234.0020883725501</v>
      </c>
      <c r="X122" s="7">
        <f t="shared" si="9"/>
        <v>26</v>
      </c>
      <c r="Y122" s="10">
        <f t="shared" si="10"/>
        <v>86.188836362839524</v>
      </c>
      <c r="Z122" s="10">
        <f t="shared" si="11"/>
        <v>335.15253054800439</v>
      </c>
      <c r="AA122" s="10">
        <f t="shared" si="12"/>
        <v>8283.7311057359475</v>
      </c>
      <c r="AB122" s="10">
        <f t="shared" si="15"/>
        <v>3238.606645417889</v>
      </c>
      <c r="AC122" s="10">
        <f t="shared" si="16"/>
        <v>7716.2688942640543</v>
      </c>
    </row>
    <row r="123" spans="1:30">
      <c r="P123" s="7">
        <f t="shared" si="5"/>
        <v>27</v>
      </c>
      <c r="Q123" s="10">
        <f t="shared" si="6"/>
        <v>77.659979116274457</v>
      </c>
      <c r="R123" s="10">
        <f t="shared" si="7"/>
        <v>317.34755236264175</v>
      </c>
      <c r="S123" s="10">
        <f t="shared" si="8"/>
        <v>7448.6503592648032</v>
      </c>
      <c r="T123" s="10">
        <f t="shared" si="13"/>
        <v>3113.8537091955441</v>
      </c>
      <c r="U123" s="10">
        <f t="shared" si="14"/>
        <v>7551.3496407351922</v>
      </c>
      <c r="X123" s="7">
        <f t="shared" si="9"/>
        <v>27</v>
      </c>
      <c r="Y123" s="10">
        <f t="shared" si="10"/>
        <v>82.837311057359472</v>
      </c>
      <c r="Z123" s="10">
        <f t="shared" si="11"/>
        <v>338.50405585348449</v>
      </c>
      <c r="AA123" s="10">
        <f t="shared" si="12"/>
        <v>7945.2270498824628</v>
      </c>
      <c r="AB123" s="10">
        <f t="shared" si="15"/>
        <v>3321.4439564752483</v>
      </c>
      <c r="AC123" s="10">
        <f t="shared" si="16"/>
        <v>8054.772950117539</v>
      </c>
    </row>
    <row r="124" spans="1:30">
      <c r="A124">
        <v>3</v>
      </c>
      <c r="B124" s="1" t="s">
        <v>159</v>
      </c>
      <c r="P124" s="7">
        <f t="shared" si="5"/>
        <v>28</v>
      </c>
      <c r="Q124" s="10">
        <f t="shared" si="6"/>
        <v>74.486503592648035</v>
      </c>
      <c r="R124" s="10">
        <f t="shared" si="7"/>
        <v>320.52102788626814</v>
      </c>
      <c r="S124" s="10">
        <f t="shared" si="8"/>
        <v>7128.1293313785354</v>
      </c>
      <c r="T124" s="10">
        <f t="shared" si="13"/>
        <v>3188.3402127881923</v>
      </c>
      <c r="U124" s="10">
        <f t="shared" si="14"/>
        <v>7871.87066862146</v>
      </c>
      <c r="X124" s="7">
        <f t="shared" si="9"/>
        <v>28</v>
      </c>
      <c r="Y124" s="10">
        <f t="shared" si="10"/>
        <v>79.452270498824632</v>
      </c>
      <c r="Z124" s="10">
        <f t="shared" si="11"/>
        <v>341.88909641201928</v>
      </c>
      <c r="AA124" s="10">
        <f t="shared" si="12"/>
        <v>7603.3379534704436</v>
      </c>
      <c r="AB124" s="10">
        <f t="shared" si="15"/>
        <v>3400.8962269740728</v>
      </c>
      <c r="AC124" s="10">
        <f t="shared" si="16"/>
        <v>8396.6620465295582</v>
      </c>
    </row>
    <row r="125" spans="1:30">
      <c r="B125" s="1" t="s">
        <v>106</v>
      </c>
      <c r="C125" s="6" t="s">
        <v>106</v>
      </c>
      <c r="D125" s="6" t="s">
        <v>106</v>
      </c>
      <c r="E125" s="6" t="s">
        <v>107</v>
      </c>
      <c r="P125" s="7">
        <f t="shared" si="5"/>
        <v>29</v>
      </c>
      <c r="Q125" s="10">
        <f t="shared" si="6"/>
        <v>71.281293313785355</v>
      </c>
      <c r="R125" s="10">
        <f t="shared" si="7"/>
        <v>323.72623816513084</v>
      </c>
      <c r="S125" s="10">
        <f t="shared" si="8"/>
        <v>6804.4030932134046</v>
      </c>
      <c r="T125" s="10">
        <f t="shared" si="13"/>
        <v>3259.6215061019775</v>
      </c>
      <c r="U125" s="10">
        <f t="shared" si="14"/>
        <v>8195.5969067865917</v>
      </c>
      <c r="X125" s="7">
        <f t="shared" si="9"/>
        <v>29</v>
      </c>
      <c r="Y125" s="10">
        <f t="shared" si="10"/>
        <v>76.033379534704437</v>
      </c>
      <c r="Z125" s="10">
        <f t="shared" si="11"/>
        <v>345.30798737613952</v>
      </c>
      <c r="AA125" s="10">
        <f t="shared" si="12"/>
        <v>7258.0299660943037</v>
      </c>
      <c r="AB125" s="10">
        <f t="shared" si="15"/>
        <v>3476.9296065087774</v>
      </c>
      <c r="AC125" s="10">
        <f t="shared" si="16"/>
        <v>8741.9700339056981</v>
      </c>
    </row>
    <row r="126" spans="1:30">
      <c r="B126" s="1" t="s">
        <v>91</v>
      </c>
      <c r="E126" s="7">
        <f>E11</f>
        <v>500</v>
      </c>
      <c r="P126" s="7">
        <f t="shared" si="5"/>
        <v>30</v>
      </c>
      <c r="Q126" s="10">
        <f t="shared" si="6"/>
        <v>68.044030932134049</v>
      </c>
      <c r="R126" s="10">
        <f t="shared" si="7"/>
        <v>326.96350054678214</v>
      </c>
      <c r="S126" s="10">
        <f t="shared" si="8"/>
        <v>6477.439592666622</v>
      </c>
      <c r="T126" s="10">
        <f t="shared" si="13"/>
        <v>3327.6655370341114</v>
      </c>
      <c r="U126" s="10">
        <f t="shared" si="14"/>
        <v>8522.5604073333743</v>
      </c>
      <c r="X126" s="7">
        <f t="shared" si="9"/>
        <v>30</v>
      </c>
      <c r="Y126" s="10">
        <f t="shared" si="10"/>
        <v>72.580299660943041</v>
      </c>
      <c r="Z126" s="10">
        <f t="shared" si="11"/>
        <v>348.76106724990086</v>
      </c>
      <c r="AA126" s="10">
        <f t="shared" si="12"/>
        <v>6909.2688988444024</v>
      </c>
      <c r="AB126" s="10">
        <f t="shared" si="15"/>
        <v>3549.5099061697206</v>
      </c>
      <c r="AC126" s="10">
        <f t="shared" si="16"/>
        <v>9090.7311011555994</v>
      </c>
    </row>
    <row r="127" spans="1:30">
      <c r="B127" s="1" t="s">
        <v>123</v>
      </c>
      <c r="E127" s="4">
        <f>E12</f>
        <v>4.0000000000000001E-3</v>
      </c>
      <c r="P127" s="7">
        <f t="shared" si="5"/>
        <v>31</v>
      </c>
      <c r="Q127" s="10">
        <f t="shared" si="6"/>
        <v>64.774395926666216</v>
      </c>
      <c r="R127" s="10">
        <f t="shared" si="7"/>
        <v>330.23313555224996</v>
      </c>
      <c r="S127" s="10">
        <f t="shared" si="8"/>
        <v>6147.2064571143719</v>
      </c>
      <c r="T127" s="10">
        <f t="shared" si="13"/>
        <v>3392.4399329607777</v>
      </c>
      <c r="U127" s="10">
        <f t="shared" si="14"/>
        <v>8852.7935428856235</v>
      </c>
      <c r="X127" s="7">
        <f t="shared" si="9"/>
        <v>31</v>
      </c>
      <c r="Y127" s="10">
        <f t="shared" si="10"/>
        <v>69.092688988444024</v>
      </c>
      <c r="Z127" s="10">
        <f t="shared" si="11"/>
        <v>352.24867792239991</v>
      </c>
      <c r="AA127" s="10">
        <f t="shared" si="12"/>
        <v>6557.0202209220024</v>
      </c>
      <c r="AB127" s="10">
        <f t="shared" si="15"/>
        <v>3618.6025951581646</v>
      </c>
      <c r="AC127" s="10">
        <f t="shared" si="16"/>
        <v>9442.9797790779994</v>
      </c>
    </row>
    <row r="128" spans="1:30">
      <c r="B128" s="1" t="s">
        <v>144</v>
      </c>
      <c r="E128" s="7">
        <f>E13</f>
        <v>4</v>
      </c>
      <c r="P128" s="7">
        <f t="shared" si="5"/>
        <v>32</v>
      </c>
      <c r="Q128" s="10">
        <f t="shared" si="6"/>
        <v>61.472064571143719</v>
      </c>
      <c r="R128" s="10">
        <f t="shared" si="7"/>
        <v>333.53546690777245</v>
      </c>
      <c r="S128" s="10">
        <f t="shared" si="8"/>
        <v>5813.6709902065995</v>
      </c>
      <c r="T128" s="10">
        <f t="shared" si="13"/>
        <v>3453.9119975319213</v>
      </c>
      <c r="U128" s="10">
        <f t="shared" si="14"/>
        <v>9186.3290097933968</v>
      </c>
      <c r="X128" s="7">
        <f t="shared" si="9"/>
        <v>32</v>
      </c>
      <c r="Y128" s="10">
        <f t="shared" si="10"/>
        <v>65.570202209220028</v>
      </c>
      <c r="Z128" s="10">
        <f t="shared" si="11"/>
        <v>355.77116470162389</v>
      </c>
      <c r="AA128" s="10">
        <f t="shared" si="12"/>
        <v>6201.2490562203784</v>
      </c>
      <c r="AB128" s="10">
        <f t="shared" si="15"/>
        <v>3684.1727973673846</v>
      </c>
      <c r="AC128" s="10">
        <f t="shared" si="16"/>
        <v>9798.7509437796234</v>
      </c>
    </row>
    <row r="129" spans="2:29">
      <c r="B129" s="1" t="s">
        <v>129</v>
      </c>
      <c r="E129" s="7">
        <f>E14</f>
        <v>12</v>
      </c>
      <c r="P129" s="7">
        <f t="shared" si="5"/>
        <v>33</v>
      </c>
      <c r="Q129" s="10">
        <f t="shared" si="6"/>
        <v>58.136709902065995</v>
      </c>
      <c r="R129" s="10">
        <f t="shared" si="7"/>
        <v>336.87082157685018</v>
      </c>
      <c r="S129" s="10">
        <f t="shared" si="8"/>
        <v>5476.8001686297494</v>
      </c>
      <c r="T129" s="10">
        <f t="shared" si="13"/>
        <v>3512.0487074339871</v>
      </c>
      <c r="U129" s="10">
        <f t="shared" si="14"/>
        <v>9523.1998313702461</v>
      </c>
      <c r="X129" s="7">
        <f t="shared" si="9"/>
        <v>33</v>
      </c>
      <c r="Y129" s="10">
        <f t="shared" si="10"/>
        <v>62.012490562203787</v>
      </c>
      <c r="Z129" s="10">
        <f t="shared" si="11"/>
        <v>359.32887634864016</v>
      </c>
      <c r="AA129" s="10">
        <f t="shared" si="12"/>
        <v>5841.9201798717386</v>
      </c>
      <c r="AB129" s="10">
        <f t="shared" si="15"/>
        <v>3746.1852879295884</v>
      </c>
      <c r="AC129" s="10">
        <f t="shared" si="16"/>
        <v>10158.079820128263</v>
      </c>
    </row>
    <row r="130" spans="2:29">
      <c r="B130" s="1" t="s">
        <v>125</v>
      </c>
      <c r="E130" s="17">
        <f>G3</f>
        <v>20000</v>
      </c>
      <c r="P130" s="7">
        <f t="shared" si="5"/>
        <v>34</v>
      </c>
      <c r="Q130" s="10">
        <f t="shared" si="6"/>
        <v>54.768001686297495</v>
      </c>
      <c r="R130" s="10">
        <f t="shared" si="7"/>
        <v>340.23952979261867</v>
      </c>
      <c r="S130" s="10">
        <f t="shared" si="8"/>
        <v>5136.5606388371307</v>
      </c>
      <c r="T130" s="10">
        <f t="shared" si="13"/>
        <v>3566.8167091202845</v>
      </c>
      <c r="U130" s="10">
        <f t="shared" si="14"/>
        <v>9863.4393611628657</v>
      </c>
      <c r="X130" s="7">
        <f t="shared" si="9"/>
        <v>34</v>
      </c>
      <c r="Y130" s="10">
        <f t="shared" si="10"/>
        <v>58.419201798717388</v>
      </c>
      <c r="Z130" s="10">
        <f t="shared" si="11"/>
        <v>362.92216511212655</v>
      </c>
      <c r="AA130" s="10">
        <f t="shared" si="12"/>
        <v>5478.9980147596125</v>
      </c>
      <c r="AB130" s="10">
        <f t="shared" si="15"/>
        <v>3804.6044897283059</v>
      </c>
      <c r="AC130" s="10">
        <f t="shared" si="16"/>
        <v>10521.001985240389</v>
      </c>
    </row>
    <row r="131" spans="2:29">
      <c r="B131" s="1" t="s">
        <v>145</v>
      </c>
      <c r="E131" s="17">
        <f>E18</f>
        <v>4000</v>
      </c>
      <c r="P131" s="7">
        <f t="shared" si="5"/>
        <v>35</v>
      </c>
      <c r="Q131" s="10">
        <f t="shared" si="6"/>
        <v>51.365606388371305</v>
      </c>
      <c r="R131" s="10">
        <f t="shared" si="7"/>
        <v>343.64192509054487</v>
      </c>
      <c r="S131" s="10">
        <f t="shared" si="8"/>
        <v>4792.918713746586</v>
      </c>
      <c r="T131" s="10">
        <f t="shared" si="13"/>
        <v>3618.1823155086558</v>
      </c>
      <c r="U131" s="10">
        <f t="shared" si="14"/>
        <v>10207.081286253411</v>
      </c>
      <c r="X131" s="7">
        <f t="shared" si="9"/>
        <v>35</v>
      </c>
      <c r="Y131" s="10">
        <f t="shared" si="10"/>
        <v>54.789980147596125</v>
      </c>
      <c r="Z131" s="10">
        <f t="shared" si="11"/>
        <v>366.55138676324782</v>
      </c>
      <c r="AA131" s="10">
        <f t="shared" si="12"/>
        <v>5112.4466279963644</v>
      </c>
      <c r="AB131" s="10">
        <f t="shared" si="15"/>
        <v>3859.3944698759019</v>
      </c>
      <c r="AC131" s="10">
        <f t="shared" si="16"/>
        <v>10887.553372003636</v>
      </c>
    </row>
    <row r="132" spans="2:29">
      <c r="B132" s="1" t="s">
        <v>126</v>
      </c>
      <c r="E132" s="4">
        <f>E15</f>
        <v>0.12</v>
      </c>
      <c r="F132" s="2" t="s">
        <v>160</v>
      </c>
      <c r="P132" s="7">
        <f t="shared" si="5"/>
        <v>36</v>
      </c>
      <c r="Q132" s="10">
        <f t="shared" si="6"/>
        <v>47.92918713746586</v>
      </c>
      <c r="R132" s="10">
        <f t="shared" si="7"/>
        <v>347.0783443414503</v>
      </c>
      <c r="S132" s="10">
        <f t="shared" si="8"/>
        <v>4445.8403694051358</v>
      </c>
      <c r="T132" s="10">
        <f t="shared" si="13"/>
        <v>3666.1115026461216</v>
      </c>
      <c r="U132" s="10">
        <f t="shared" si="14"/>
        <v>10554.159630594862</v>
      </c>
      <c r="V132" s="7">
        <f>U132-U120</f>
        <v>3945.4575914811203</v>
      </c>
      <c r="X132" s="7">
        <f t="shared" si="9"/>
        <v>36</v>
      </c>
      <c r="Y132" s="10">
        <f t="shared" si="10"/>
        <v>51.124466279963649</v>
      </c>
      <c r="Z132" s="10">
        <f t="shared" si="11"/>
        <v>370.21690063088028</v>
      </c>
      <c r="AA132" s="10">
        <f t="shared" si="12"/>
        <v>4742.229727365484</v>
      </c>
      <c r="AB132" s="10">
        <f t="shared" si="15"/>
        <v>3910.5189361558655</v>
      </c>
      <c r="AC132" s="10">
        <f t="shared" si="16"/>
        <v>11257.770272634516</v>
      </c>
    </row>
    <row r="133" spans="2:29">
      <c r="B133" s="1" t="s">
        <v>131</v>
      </c>
      <c r="E133" s="4">
        <f>E132/E129</f>
        <v>0.01</v>
      </c>
      <c r="P133" s="7">
        <f t="shared" si="5"/>
        <v>37</v>
      </c>
      <c r="Q133" s="10">
        <f t="shared" si="6"/>
        <v>44.458403694051356</v>
      </c>
      <c r="R133" s="10">
        <f t="shared" si="7"/>
        <v>350.54912778486482</v>
      </c>
      <c r="S133" s="10">
        <f t="shared" si="8"/>
        <v>4095.2912416202707</v>
      </c>
      <c r="T133" s="10">
        <f t="shared" si="13"/>
        <v>3710.569906340173</v>
      </c>
      <c r="U133" s="10">
        <f t="shared" si="14"/>
        <v>10904.708758379727</v>
      </c>
      <c r="X133" s="7">
        <f t="shared" si="9"/>
        <v>37</v>
      </c>
      <c r="Y133" s="10">
        <f t="shared" si="10"/>
        <v>47.422297273654841</v>
      </c>
      <c r="Z133" s="10">
        <f t="shared" si="11"/>
        <v>373.91906963718907</v>
      </c>
      <c r="AA133" s="10">
        <f t="shared" si="12"/>
        <v>4368.3106577282952</v>
      </c>
      <c r="AB133" s="10">
        <f t="shared" si="15"/>
        <v>3957.9412334295203</v>
      </c>
      <c r="AC133" s="10">
        <f t="shared" si="16"/>
        <v>11631.689342271706</v>
      </c>
    </row>
    <row r="134" spans="2:29">
      <c r="B134" s="1" t="s">
        <v>132</v>
      </c>
      <c r="E134" s="17">
        <f>PMT(E133,E128*E129,-(E130-E131))</f>
        <v>421.34136691084393</v>
      </c>
      <c r="P134" s="7">
        <f t="shared" si="5"/>
        <v>38</v>
      </c>
      <c r="Q134" s="10">
        <f t="shared" si="6"/>
        <v>40.952912416202707</v>
      </c>
      <c r="R134" s="10">
        <f t="shared" si="7"/>
        <v>354.05461906271347</v>
      </c>
      <c r="S134" s="10">
        <f t="shared" si="8"/>
        <v>3741.2366225575574</v>
      </c>
      <c r="T134" s="10">
        <f t="shared" si="13"/>
        <v>3751.5228187563757</v>
      </c>
      <c r="U134" s="10">
        <f t="shared" si="14"/>
        <v>11258.763377442441</v>
      </c>
      <c r="X134" s="7">
        <f t="shared" si="9"/>
        <v>38</v>
      </c>
      <c r="Y134" s="10">
        <f t="shared" si="10"/>
        <v>43.683106577282949</v>
      </c>
      <c r="Z134" s="10">
        <f t="shared" si="11"/>
        <v>377.65826033356097</v>
      </c>
      <c r="AA134" s="10">
        <f t="shared" si="12"/>
        <v>3990.6523973947342</v>
      </c>
      <c r="AB134" s="10">
        <f t="shared" si="15"/>
        <v>4001.6243400068033</v>
      </c>
      <c r="AC134" s="10">
        <f t="shared" si="16"/>
        <v>12009.347602605267</v>
      </c>
    </row>
    <row r="135" spans="2:29">
      <c r="B135" s="1" t="s">
        <v>150</v>
      </c>
      <c r="E135" s="17">
        <f>E134*E129</f>
        <v>5056.0964029301267</v>
      </c>
      <c r="P135" s="7">
        <f t="shared" si="5"/>
        <v>39</v>
      </c>
      <c r="Q135" s="10">
        <f t="shared" si="6"/>
        <v>37.412366225575575</v>
      </c>
      <c r="R135" s="10">
        <f t="shared" si="7"/>
        <v>357.59516525334061</v>
      </c>
      <c r="S135" s="10">
        <f t="shared" si="8"/>
        <v>3383.6414573042166</v>
      </c>
      <c r="T135" s="10">
        <f t="shared" si="13"/>
        <v>3788.9351849819514</v>
      </c>
      <c r="U135" s="10">
        <f t="shared" si="14"/>
        <v>11616.358542695782</v>
      </c>
      <c r="X135" s="7">
        <f t="shared" si="9"/>
        <v>39</v>
      </c>
      <c r="Y135" s="10">
        <f t="shared" si="10"/>
        <v>39.906523973947344</v>
      </c>
      <c r="Z135" s="10">
        <f t="shared" si="11"/>
        <v>381.43484293689659</v>
      </c>
      <c r="AA135" s="10">
        <f t="shared" si="12"/>
        <v>3609.2175544578377</v>
      </c>
      <c r="AB135" s="10">
        <f t="shared" si="15"/>
        <v>4041.5308639807508</v>
      </c>
      <c r="AC135" s="10">
        <f t="shared" si="16"/>
        <v>12390.782445542163</v>
      </c>
    </row>
    <row r="136" spans="2:29">
      <c r="B136" s="1" t="s">
        <v>134</v>
      </c>
      <c r="E136" s="4">
        <f>G5</f>
        <v>0.38500000000000001</v>
      </c>
      <c r="P136" s="7">
        <f t="shared" si="5"/>
        <v>40</v>
      </c>
      <c r="Q136" s="10">
        <f t="shared" si="6"/>
        <v>33.83641457304217</v>
      </c>
      <c r="R136" s="10">
        <f t="shared" si="7"/>
        <v>361.17111690587399</v>
      </c>
      <c r="S136" s="10">
        <f t="shared" si="8"/>
        <v>3022.4703403983426</v>
      </c>
      <c r="T136" s="10">
        <f t="shared" si="13"/>
        <v>3822.7715995549934</v>
      </c>
      <c r="U136" s="10">
        <f t="shared" si="14"/>
        <v>11977.529659601656</v>
      </c>
      <c r="X136" s="7">
        <f t="shared" si="9"/>
        <v>40</v>
      </c>
      <c r="Y136" s="10">
        <f t="shared" si="10"/>
        <v>36.092175544578375</v>
      </c>
      <c r="Z136" s="10">
        <f t="shared" si="11"/>
        <v>385.24919136626556</v>
      </c>
      <c r="AA136" s="10">
        <f t="shared" si="12"/>
        <v>3223.968363091572</v>
      </c>
      <c r="AB136" s="10">
        <f t="shared" si="15"/>
        <v>4077.6230395253292</v>
      </c>
      <c r="AC136" s="10">
        <f t="shared" si="16"/>
        <v>12776.031636908428</v>
      </c>
    </row>
    <row r="137" spans="2:29">
      <c r="B137" s="1" t="s">
        <v>135</v>
      </c>
      <c r="E137" s="4">
        <f>G7</f>
        <v>7.3799999999999991E-2</v>
      </c>
      <c r="P137" s="7">
        <f t="shared" si="5"/>
        <v>41</v>
      </c>
      <c r="Q137" s="10">
        <f t="shared" si="6"/>
        <v>30.224703403983426</v>
      </c>
      <c r="R137" s="10">
        <f t="shared" si="7"/>
        <v>364.78282807493275</v>
      </c>
      <c r="S137" s="10">
        <f t="shared" si="8"/>
        <v>2657.6875123234099</v>
      </c>
      <c r="T137" s="10">
        <f t="shared" si="13"/>
        <v>3852.9963029589767</v>
      </c>
      <c r="U137" s="10">
        <f t="shared" si="14"/>
        <v>12342.312487676589</v>
      </c>
      <c r="X137" s="7">
        <f t="shared" si="9"/>
        <v>41</v>
      </c>
      <c r="Y137" s="10">
        <f t="shared" si="10"/>
        <v>32.239683630915721</v>
      </c>
      <c r="Z137" s="10">
        <f t="shared" si="11"/>
        <v>389.10168327992824</v>
      </c>
      <c r="AA137" s="10">
        <f t="shared" si="12"/>
        <v>2834.8666798116437</v>
      </c>
      <c r="AB137" s="10">
        <f t="shared" si="15"/>
        <v>4109.862723156245</v>
      </c>
      <c r="AC137" s="10">
        <f t="shared" si="16"/>
        <v>13165.133320188357</v>
      </c>
    </row>
    <row r="138" spans="2:29">
      <c r="B138" s="1" t="s">
        <v>151</v>
      </c>
      <c r="E138" s="4">
        <f>G4</f>
        <v>0.18</v>
      </c>
      <c r="P138" s="7">
        <f t="shared" si="5"/>
        <v>42</v>
      </c>
      <c r="Q138" s="10">
        <f t="shared" si="6"/>
        <v>26.5768751232341</v>
      </c>
      <c r="R138" s="10">
        <f t="shared" si="7"/>
        <v>368.43065635568206</v>
      </c>
      <c r="S138" s="10">
        <f t="shared" si="8"/>
        <v>2289.2568559677279</v>
      </c>
      <c r="T138" s="10">
        <f t="shared" si="13"/>
        <v>3879.5731780822107</v>
      </c>
      <c r="U138" s="10">
        <f t="shared" si="14"/>
        <v>12710.743144032271</v>
      </c>
      <c r="X138" s="7">
        <f t="shared" si="9"/>
        <v>42</v>
      </c>
      <c r="Y138" s="10">
        <f t="shared" si="10"/>
        <v>28.348666798116437</v>
      </c>
      <c r="Z138" s="10">
        <f t="shared" si="11"/>
        <v>392.9927001127275</v>
      </c>
      <c r="AA138" s="10">
        <f t="shared" si="12"/>
        <v>2441.8739796989162</v>
      </c>
      <c r="AB138" s="10">
        <f t="shared" si="15"/>
        <v>4138.211389954361</v>
      </c>
      <c r="AC138" s="10">
        <f t="shared" si="16"/>
        <v>13558.126020301084</v>
      </c>
    </row>
    <row r="139" spans="2:29">
      <c r="P139" s="7">
        <f t="shared" si="5"/>
        <v>43</v>
      </c>
      <c r="Q139" s="10">
        <f t="shared" si="6"/>
        <v>22.892568559677279</v>
      </c>
      <c r="R139" s="10">
        <f t="shared" si="7"/>
        <v>372.11496291923891</v>
      </c>
      <c r="S139" s="10">
        <f t="shared" si="8"/>
        <v>1917.141893048489</v>
      </c>
      <c r="T139" s="10">
        <f t="shared" si="13"/>
        <v>3902.465746641888</v>
      </c>
      <c r="U139" s="10">
        <f t="shared" si="14"/>
        <v>13082.858106951509</v>
      </c>
      <c r="X139" s="7">
        <f t="shared" si="9"/>
        <v>43</v>
      </c>
      <c r="Y139" s="10">
        <f t="shared" si="10"/>
        <v>24.418739796989161</v>
      </c>
      <c r="Z139" s="10">
        <f t="shared" si="11"/>
        <v>396.92262711385479</v>
      </c>
      <c r="AA139" s="10">
        <f t="shared" si="12"/>
        <v>2044.9513525850614</v>
      </c>
      <c r="AB139" s="10">
        <f t="shared" si="15"/>
        <v>4162.6301297513501</v>
      </c>
      <c r="AC139" s="10">
        <f t="shared" si="16"/>
        <v>13955.048647414938</v>
      </c>
    </row>
    <row r="140" spans="2:29">
      <c r="B140" s="1" t="s">
        <v>117</v>
      </c>
      <c r="D140" s="7">
        <v>0</v>
      </c>
      <c r="E140" s="7">
        <v>1</v>
      </c>
      <c r="F140" s="7">
        <v>2</v>
      </c>
      <c r="G140" s="7">
        <v>3</v>
      </c>
      <c r="H140" s="7">
        <v>4</v>
      </c>
      <c r="I140" s="7">
        <v>5</v>
      </c>
      <c r="J140" s="7">
        <v>6</v>
      </c>
      <c r="K140" s="7">
        <v>7</v>
      </c>
      <c r="L140" s="7">
        <v>8</v>
      </c>
      <c r="M140" s="7">
        <v>9</v>
      </c>
      <c r="N140" s="7">
        <v>10</v>
      </c>
      <c r="P140" s="7">
        <f t="shared" si="5"/>
        <v>44</v>
      </c>
      <c r="Q140" s="10">
        <f t="shared" si="6"/>
        <v>19.17141893048489</v>
      </c>
      <c r="R140" s="10">
        <f t="shared" si="7"/>
        <v>375.83611254843129</v>
      </c>
      <c r="S140" s="10">
        <f t="shared" si="8"/>
        <v>1541.3057805000576</v>
      </c>
      <c r="T140" s="10">
        <f t="shared" si="13"/>
        <v>3921.6371655723729</v>
      </c>
      <c r="U140" s="10">
        <f t="shared" si="14"/>
        <v>13458.694219499941</v>
      </c>
      <c r="X140" s="7">
        <f t="shared" si="9"/>
        <v>44</v>
      </c>
      <c r="Y140" s="10">
        <f t="shared" si="10"/>
        <v>20.449513525850616</v>
      </c>
      <c r="Z140" s="10">
        <f t="shared" si="11"/>
        <v>400.89185338499334</v>
      </c>
      <c r="AA140" s="10">
        <f t="shared" si="12"/>
        <v>1644.0594992000681</v>
      </c>
      <c r="AB140" s="10">
        <f t="shared" si="15"/>
        <v>4183.0796432772004</v>
      </c>
      <c r="AC140" s="10">
        <f t="shared" si="16"/>
        <v>14355.940500799932</v>
      </c>
    </row>
    <row r="141" spans="2:29">
      <c r="B141" s="1" t="s">
        <v>136</v>
      </c>
      <c r="C141" s="1" t="s">
        <v>136</v>
      </c>
      <c r="D141" s="1" t="s">
        <v>136</v>
      </c>
      <c r="E141" s="1" t="s">
        <v>136</v>
      </c>
      <c r="F141" s="1" t="s">
        <v>136</v>
      </c>
      <c r="G141" s="1" t="s">
        <v>136</v>
      </c>
      <c r="H141" s="1" t="s">
        <v>136</v>
      </c>
      <c r="I141" s="1" t="s">
        <v>136</v>
      </c>
      <c r="J141" s="1" t="s">
        <v>136</v>
      </c>
      <c r="K141" s="1" t="s">
        <v>136</v>
      </c>
      <c r="L141" s="1" t="s">
        <v>136</v>
      </c>
      <c r="M141" s="1" t="s">
        <v>136</v>
      </c>
      <c r="N141" s="1" t="s">
        <v>26</v>
      </c>
      <c r="P141" s="7">
        <f t="shared" si="5"/>
        <v>45</v>
      </c>
      <c r="Q141" s="10">
        <f t="shared" si="6"/>
        <v>15.413057805000577</v>
      </c>
      <c r="R141" s="10">
        <f t="shared" si="7"/>
        <v>379.59447367391562</v>
      </c>
      <c r="S141" s="10">
        <f t="shared" si="8"/>
        <v>1161.7113068261419</v>
      </c>
      <c r="T141" s="10">
        <f t="shared" si="13"/>
        <v>3937.0502233773736</v>
      </c>
      <c r="U141" s="10">
        <f t="shared" si="14"/>
        <v>13838.288693173856</v>
      </c>
      <c r="X141" s="7">
        <f t="shared" si="9"/>
        <v>45</v>
      </c>
      <c r="Y141" s="10">
        <f t="shared" si="10"/>
        <v>16.44059499200068</v>
      </c>
      <c r="Z141" s="10">
        <f t="shared" si="11"/>
        <v>404.90077191884325</v>
      </c>
      <c r="AA141" s="10">
        <f t="shared" si="12"/>
        <v>1239.1587272812249</v>
      </c>
      <c r="AB141" s="10">
        <f t="shared" si="15"/>
        <v>4199.5202382692014</v>
      </c>
      <c r="AC141" s="10">
        <f t="shared" si="16"/>
        <v>14760.841272718775</v>
      </c>
    </row>
    <row r="142" spans="2:29">
      <c r="B142" s="1" t="s">
        <v>91</v>
      </c>
      <c r="D142" s="7">
        <f>E126</f>
        <v>500</v>
      </c>
      <c r="P142" s="7">
        <f t="shared" si="5"/>
        <v>46</v>
      </c>
      <c r="Q142" s="10">
        <f t="shared" si="6"/>
        <v>11.617113068261419</v>
      </c>
      <c r="R142" s="10">
        <f t="shared" si="7"/>
        <v>383.39041841065477</v>
      </c>
      <c r="S142" s="10">
        <f t="shared" si="8"/>
        <v>778.32088841548716</v>
      </c>
      <c r="T142" s="10">
        <f t="shared" si="13"/>
        <v>3948.6673364456351</v>
      </c>
      <c r="U142" s="10">
        <f t="shared" si="14"/>
        <v>14221.67911158451</v>
      </c>
      <c r="X142" s="7">
        <f t="shared" si="9"/>
        <v>46</v>
      </c>
      <c r="Y142" s="10">
        <f t="shared" si="10"/>
        <v>12.391587272812249</v>
      </c>
      <c r="Z142" s="10">
        <f t="shared" si="11"/>
        <v>408.94977963803166</v>
      </c>
      <c r="AA142" s="10">
        <f t="shared" si="12"/>
        <v>830.20894764319314</v>
      </c>
      <c r="AB142" s="10">
        <f t="shared" si="15"/>
        <v>4211.9118255420135</v>
      </c>
      <c r="AC142" s="10">
        <f t="shared" si="16"/>
        <v>15169.791052356806</v>
      </c>
    </row>
    <row r="143" spans="2:29">
      <c r="B143" s="1" t="s">
        <v>123</v>
      </c>
      <c r="D143" s="7">
        <f>E127*E130</f>
        <v>80</v>
      </c>
      <c r="P143" s="7">
        <f t="shared" si="5"/>
        <v>47</v>
      </c>
      <c r="Q143" s="10">
        <f t="shared" si="6"/>
        <v>7.7832088841548721</v>
      </c>
      <c r="R143" s="10">
        <f t="shared" si="7"/>
        <v>387.2243225947613</v>
      </c>
      <c r="S143" s="10">
        <f t="shared" si="8"/>
        <v>391.09656582072586</v>
      </c>
      <c r="T143" s="10">
        <f t="shared" si="13"/>
        <v>3956.4505453297897</v>
      </c>
      <c r="U143" s="10">
        <f t="shared" si="14"/>
        <v>14608.90343417927</v>
      </c>
      <c r="X143" s="7">
        <f t="shared" si="9"/>
        <v>47</v>
      </c>
      <c r="Y143" s="10">
        <f t="shared" si="10"/>
        <v>8.3020894764319308</v>
      </c>
      <c r="Z143" s="10">
        <f t="shared" si="11"/>
        <v>413.03927743441199</v>
      </c>
      <c r="AA143" s="10">
        <f t="shared" si="12"/>
        <v>417.16967020878116</v>
      </c>
      <c r="AB143" s="10">
        <f t="shared" si="15"/>
        <v>4220.2139150184457</v>
      </c>
      <c r="AC143" s="10">
        <f t="shared" si="16"/>
        <v>15582.830329791219</v>
      </c>
    </row>
    <row r="144" spans="2:29">
      <c r="B144" s="1" t="s">
        <v>153</v>
      </c>
      <c r="D144" s="7">
        <f>E131</f>
        <v>4000</v>
      </c>
      <c r="P144" s="7">
        <f t="shared" si="5"/>
        <v>48</v>
      </c>
      <c r="Q144" s="10">
        <f t="shared" si="6"/>
        <v>3.9109656582072585</v>
      </c>
      <c r="R144" s="10">
        <f t="shared" si="7"/>
        <v>391.09656582070892</v>
      </c>
      <c r="S144" s="10">
        <f t="shared" si="8"/>
        <v>1.6939338820520788E-11</v>
      </c>
      <c r="T144" s="10">
        <f t="shared" si="13"/>
        <v>3960.361510987997</v>
      </c>
      <c r="U144" s="10">
        <f t="shared" si="14"/>
        <v>14999.99999999998</v>
      </c>
      <c r="X144" s="7">
        <f t="shared" si="9"/>
        <v>48</v>
      </c>
      <c r="Y144" s="10">
        <f t="shared" si="10"/>
        <v>4.1716967020878117</v>
      </c>
      <c r="Z144" s="10">
        <f t="shared" si="11"/>
        <v>417.16967020875614</v>
      </c>
      <c r="AA144" s="10">
        <f t="shared" si="12"/>
        <v>2.5011104298755527E-11</v>
      </c>
      <c r="AB144" s="10">
        <f t="shared" si="15"/>
        <v>4224.3856117205332</v>
      </c>
      <c r="AC144" s="10">
        <f t="shared" si="16"/>
        <v>15999.999999999975</v>
      </c>
    </row>
    <row r="145" spans="2:29">
      <c r="B145" s="1" t="s">
        <v>154</v>
      </c>
      <c r="D145" s="8">
        <v>0</v>
      </c>
      <c r="E145" s="8">
        <f t="shared" ref="E145:N145" si="22">IF(E$140&lt;=$E$128,INDEX($Z$96:$AD$216,$E$129*E$140+1,5)-INDEX($Z$96:$AD$216,$E$129*D$140+1,5),0)</f>
        <v>0</v>
      </c>
      <c r="F145" s="8">
        <f t="shared" si="22"/>
        <v>3734.8195017348662</v>
      </c>
      <c r="G145" s="8">
        <f t="shared" si="22"/>
        <v>-3734.8195017348662</v>
      </c>
      <c r="H145" s="8">
        <f t="shared" si="22"/>
        <v>0</v>
      </c>
      <c r="I145" s="8">
        <f t="shared" si="22"/>
        <v>0</v>
      </c>
      <c r="J145" s="8">
        <f t="shared" si="22"/>
        <v>0</v>
      </c>
      <c r="K145" s="8">
        <f t="shared" si="22"/>
        <v>0</v>
      </c>
      <c r="L145" s="8">
        <f t="shared" si="22"/>
        <v>0</v>
      </c>
      <c r="M145" s="8">
        <f t="shared" si="22"/>
        <v>0</v>
      </c>
      <c r="N145" s="8">
        <f t="shared" si="22"/>
        <v>0</v>
      </c>
      <c r="P145" s="7">
        <f t="shared" si="5"/>
        <v>49</v>
      </c>
      <c r="Q145" s="10">
        <f t="shared" si="6"/>
        <v>0</v>
      </c>
      <c r="R145" s="10">
        <f t="shared" si="7"/>
        <v>0</v>
      </c>
      <c r="S145" s="10">
        <f t="shared" si="8"/>
        <v>1.6939338820520788E-11</v>
      </c>
      <c r="T145" s="10">
        <f t="shared" si="13"/>
        <v>0</v>
      </c>
      <c r="U145" s="10">
        <f t="shared" si="14"/>
        <v>0</v>
      </c>
      <c r="X145" s="7">
        <f t="shared" si="9"/>
        <v>49</v>
      </c>
      <c r="Y145" s="10">
        <f t="shared" si="10"/>
        <v>0</v>
      </c>
      <c r="Z145" s="10">
        <f t="shared" si="11"/>
        <v>0</v>
      </c>
      <c r="AA145" s="10">
        <f t="shared" si="12"/>
        <v>2.5011104298755527E-11</v>
      </c>
      <c r="AB145" s="10">
        <f t="shared" si="15"/>
        <v>0</v>
      </c>
      <c r="AC145" s="10">
        <f t="shared" si="16"/>
        <v>0</v>
      </c>
    </row>
    <row r="146" spans="2:29">
      <c r="B146" s="1" t="s">
        <v>155</v>
      </c>
      <c r="D146" s="8"/>
      <c r="E146" s="8">
        <f t="shared" ref="E146:N146" si="23">IF(E$140&lt;=$E$128,INDEX($Z$96:$AD$216,$E$129*E$140+1,4)-INDEX($Z$96:$AD$216,$E$129*D$140+1,4),0)</f>
        <v>3314.4626733197929</v>
      </c>
      <c r="F146" s="8">
        <f t="shared" si="23"/>
        <v>3734.8195017348662</v>
      </c>
      <c r="G146" s="8">
        <f t="shared" si="23"/>
        <v>4208.4880975798569</v>
      </c>
      <c r="H146" s="8">
        <f t="shared" si="23"/>
        <v>4742.2297273654585</v>
      </c>
      <c r="I146" s="8">
        <f t="shared" si="23"/>
        <v>0</v>
      </c>
      <c r="J146" s="8">
        <f t="shared" si="23"/>
        <v>0</v>
      </c>
      <c r="K146" s="8">
        <f t="shared" si="23"/>
        <v>0</v>
      </c>
      <c r="L146" s="8">
        <f t="shared" si="23"/>
        <v>0</v>
      </c>
      <c r="M146" s="8">
        <f t="shared" si="23"/>
        <v>0</v>
      </c>
      <c r="N146" s="8">
        <f t="shared" si="23"/>
        <v>0</v>
      </c>
      <c r="P146" s="7">
        <f t="shared" si="5"/>
        <v>50</v>
      </c>
      <c r="Q146" s="10">
        <f t="shared" si="6"/>
        <v>0</v>
      </c>
      <c r="R146" s="10">
        <f t="shared" si="7"/>
        <v>0</v>
      </c>
      <c r="S146" s="10">
        <f t="shared" si="8"/>
        <v>1.6939338820520788E-11</v>
      </c>
      <c r="T146" s="10">
        <f t="shared" si="13"/>
        <v>0</v>
      </c>
      <c r="U146" s="10">
        <f t="shared" si="14"/>
        <v>0</v>
      </c>
      <c r="X146" s="7">
        <f t="shared" si="9"/>
        <v>50</v>
      </c>
      <c r="Y146" s="10">
        <f t="shared" si="10"/>
        <v>0</v>
      </c>
      <c r="Z146" s="10">
        <f t="shared" si="11"/>
        <v>0</v>
      </c>
      <c r="AA146" s="10">
        <f t="shared" si="12"/>
        <v>2.5011104298755527E-11</v>
      </c>
      <c r="AB146" s="10">
        <f t="shared" si="15"/>
        <v>0</v>
      </c>
      <c r="AC146" s="10">
        <f t="shared" si="16"/>
        <v>0</v>
      </c>
    </row>
    <row r="147" spans="2:29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P147" s="7">
        <f t="shared" si="5"/>
        <v>51</v>
      </c>
      <c r="Q147" s="10">
        <f t="shared" si="6"/>
        <v>0</v>
      </c>
      <c r="R147" s="10">
        <f t="shared" si="7"/>
        <v>0</v>
      </c>
      <c r="S147" s="10">
        <f t="shared" si="8"/>
        <v>1.6939338820520788E-11</v>
      </c>
      <c r="T147" s="10">
        <f t="shared" si="13"/>
        <v>0</v>
      </c>
      <c r="U147" s="10">
        <f t="shared" si="14"/>
        <v>0</v>
      </c>
      <c r="X147" s="7">
        <f t="shared" si="9"/>
        <v>51</v>
      </c>
      <c r="Y147" s="10">
        <f t="shared" si="10"/>
        <v>0</v>
      </c>
      <c r="Z147" s="10">
        <f t="shared" si="11"/>
        <v>0</v>
      </c>
      <c r="AA147" s="10">
        <f t="shared" si="12"/>
        <v>2.5011104298755527E-11</v>
      </c>
      <c r="AB147" s="10">
        <f t="shared" si="15"/>
        <v>0</v>
      </c>
      <c r="AC147" s="10">
        <f t="shared" si="16"/>
        <v>0</v>
      </c>
    </row>
    <row r="148" spans="2:29">
      <c r="B148" s="1" t="s">
        <v>161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P148" s="7">
        <f t="shared" si="5"/>
        <v>52</v>
      </c>
      <c r="Q148" s="10">
        <f t="shared" si="6"/>
        <v>0</v>
      </c>
      <c r="R148" s="10">
        <f t="shared" si="7"/>
        <v>0</v>
      </c>
      <c r="S148" s="10">
        <f t="shared" si="8"/>
        <v>1.6939338820520788E-11</v>
      </c>
      <c r="T148" s="10">
        <f t="shared" si="13"/>
        <v>0</v>
      </c>
      <c r="U148" s="10">
        <f t="shared" si="14"/>
        <v>0</v>
      </c>
      <c r="X148" s="7">
        <f t="shared" si="9"/>
        <v>52</v>
      </c>
      <c r="Y148" s="10">
        <f t="shared" si="10"/>
        <v>0</v>
      </c>
      <c r="Z148" s="10">
        <f t="shared" si="11"/>
        <v>0</v>
      </c>
      <c r="AA148" s="10">
        <f t="shared" si="12"/>
        <v>2.5011104298755527E-11</v>
      </c>
      <c r="AB148" s="10">
        <f t="shared" si="15"/>
        <v>0</v>
      </c>
      <c r="AC148" s="10">
        <f t="shared" si="16"/>
        <v>0</v>
      </c>
    </row>
    <row r="149" spans="2:29">
      <c r="B149" s="1" t="s">
        <v>157</v>
      </c>
      <c r="D149" s="8"/>
      <c r="E149" s="8"/>
      <c r="F149" s="8">
        <f t="shared" ref="F149:N149" si="24">IF(F140&lt;=$E$128+1,+E146*$E$136,0)</f>
        <v>1276.0681292281204</v>
      </c>
      <c r="G149" s="8">
        <f t="shared" si="24"/>
        <v>1437.9055081679235</v>
      </c>
      <c r="H149" s="8">
        <f t="shared" si="24"/>
        <v>1620.2679175682449</v>
      </c>
      <c r="I149" s="8">
        <f t="shared" si="24"/>
        <v>1825.7584450357015</v>
      </c>
      <c r="J149" s="8">
        <f t="shared" si="24"/>
        <v>0</v>
      </c>
      <c r="K149" s="8">
        <f t="shared" si="24"/>
        <v>0</v>
      </c>
      <c r="L149" s="8">
        <f t="shared" si="24"/>
        <v>0</v>
      </c>
      <c r="M149" s="8">
        <f t="shared" si="24"/>
        <v>0</v>
      </c>
      <c r="N149" s="8">
        <f t="shared" si="24"/>
        <v>0</v>
      </c>
      <c r="P149" s="7">
        <f t="shared" si="5"/>
        <v>53</v>
      </c>
      <c r="Q149" s="10">
        <f t="shared" si="6"/>
        <v>0</v>
      </c>
      <c r="R149" s="10">
        <f t="shared" si="7"/>
        <v>0</v>
      </c>
      <c r="S149" s="10">
        <f t="shared" si="8"/>
        <v>1.6939338820520788E-11</v>
      </c>
      <c r="T149" s="10">
        <f t="shared" si="13"/>
        <v>0</v>
      </c>
      <c r="U149" s="10">
        <f t="shared" si="14"/>
        <v>0</v>
      </c>
      <c r="X149" s="7">
        <f t="shared" si="9"/>
        <v>53</v>
      </c>
      <c r="Y149" s="10">
        <f t="shared" si="10"/>
        <v>0</v>
      </c>
      <c r="Z149" s="10">
        <f t="shared" si="11"/>
        <v>0</v>
      </c>
      <c r="AA149" s="10">
        <f t="shared" si="12"/>
        <v>2.5011104298755527E-11</v>
      </c>
      <c r="AB149" s="10">
        <f t="shared" si="15"/>
        <v>0</v>
      </c>
      <c r="AC149" s="10">
        <f t="shared" si="16"/>
        <v>0</v>
      </c>
    </row>
    <row r="150" spans="2:29">
      <c r="B150" s="1" t="s">
        <v>158</v>
      </c>
      <c r="D150" s="8"/>
      <c r="E150" s="8"/>
      <c r="F150" s="8">
        <f t="shared" ref="F150:N150" si="25">IF((1/$E$138-F140+2)&lt;0,0,IF(1/$E$138-F140+2&lt;1,+$E$130*$E$136*$E$138*(1/$E$138-F140+2),$E$130*$E$136*$E$138))</f>
        <v>1386</v>
      </c>
      <c r="G150" s="8">
        <f t="shared" si="25"/>
        <v>1386</v>
      </c>
      <c r="H150" s="8">
        <f t="shared" si="25"/>
        <v>1386</v>
      </c>
      <c r="I150" s="8">
        <f t="shared" si="25"/>
        <v>1386</v>
      </c>
      <c r="J150" s="8">
        <f t="shared" si="25"/>
        <v>1386</v>
      </c>
      <c r="K150" s="8">
        <f t="shared" si="25"/>
        <v>769.99999999999977</v>
      </c>
      <c r="L150" s="8">
        <f t="shared" si="25"/>
        <v>0</v>
      </c>
      <c r="M150" s="8">
        <f t="shared" si="25"/>
        <v>0</v>
      </c>
      <c r="N150" s="8">
        <f t="shared" si="25"/>
        <v>0</v>
      </c>
      <c r="P150" s="7">
        <f t="shared" si="5"/>
        <v>54</v>
      </c>
      <c r="Q150" s="10">
        <f t="shared" si="6"/>
        <v>0</v>
      </c>
      <c r="R150" s="10">
        <f t="shared" si="7"/>
        <v>0</v>
      </c>
      <c r="S150" s="10">
        <f t="shared" si="8"/>
        <v>1.6939338820520788E-11</v>
      </c>
      <c r="T150" s="10">
        <f t="shared" si="13"/>
        <v>0</v>
      </c>
      <c r="U150" s="10">
        <f t="shared" si="14"/>
        <v>0</v>
      </c>
      <c r="X150" s="7">
        <f t="shared" si="9"/>
        <v>54</v>
      </c>
      <c r="Y150" s="10">
        <f t="shared" si="10"/>
        <v>0</v>
      </c>
      <c r="Z150" s="10">
        <f t="shared" si="11"/>
        <v>0</v>
      </c>
      <c r="AA150" s="10">
        <f t="shared" si="12"/>
        <v>2.5011104298755527E-11</v>
      </c>
      <c r="AB150" s="10">
        <f t="shared" si="15"/>
        <v>0</v>
      </c>
      <c r="AC150" s="10">
        <f t="shared" si="16"/>
        <v>0</v>
      </c>
    </row>
    <row r="151" spans="2:29">
      <c r="B151" s="1" t="s">
        <v>136</v>
      </c>
      <c r="C151" s="1" t="s">
        <v>136</v>
      </c>
      <c r="D151" s="1" t="s">
        <v>136</v>
      </c>
      <c r="E151" s="1" t="s">
        <v>136</v>
      </c>
      <c r="F151" s="1" t="s">
        <v>136</v>
      </c>
      <c r="G151" s="1" t="s">
        <v>136</v>
      </c>
      <c r="H151" s="1" t="s">
        <v>136</v>
      </c>
      <c r="I151" s="1" t="s">
        <v>136</v>
      </c>
      <c r="J151" s="1" t="s">
        <v>136</v>
      </c>
      <c r="K151" s="1" t="s">
        <v>136</v>
      </c>
      <c r="L151" s="1" t="s">
        <v>136</v>
      </c>
      <c r="M151" s="1" t="s">
        <v>136</v>
      </c>
      <c r="N151" s="1" t="s">
        <v>26</v>
      </c>
      <c r="P151" s="7">
        <f t="shared" si="5"/>
        <v>55</v>
      </c>
      <c r="Q151" s="10">
        <f t="shared" si="6"/>
        <v>0</v>
      </c>
      <c r="R151" s="10">
        <f t="shared" si="7"/>
        <v>0</v>
      </c>
      <c r="S151" s="10">
        <f t="shared" si="8"/>
        <v>1.6939338820520788E-11</v>
      </c>
      <c r="T151" s="10">
        <f t="shared" si="13"/>
        <v>0</v>
      </c>
      <c r="U151" s="10">
        <f t="shared" si="14"/>
        <v>0</v>
      </c>
      <c r="X151" s="7">
        <f t="shared" si="9"/>
        <v>55</v>
      </c>
      <c r="Y151" s="10">
        <f t="shared" si="10"/>
        <v>0</v>
      </c>
      <c r="Z151" s="10">
        <f t="shared" si="11"/>
        <v>0</v>
      </c>
      <c r="AA151" s="10">
        <f t="shared" si="12"/>
        <v>2.5011104298755527E-11</v>
      </c>
      <c r="AB151" s="10">
        <f t="shared" si="15"/>
        <v>0</v>
      </c>
      <c r="AC151" s="10">
        <f t="shared" si="16"/>
        <v>0</v>
      </c>
    </row>
    <row r="152" spans="2:29">
      <c r="D152" s="8">
        <f>(SUM(D142:D146))-(SUM(D149:D150))</f>
        <v>4580</v>
      </c>
      <c r="E152" s="8">
        <f t="shared" ref="E152:N152" si="26">(SUM(E145:E146))-(SUM(E149:E150))</f>
        <v>3314.4626733197929</v>
      </c>
      <c r="F152" s="8">
        <f t="shared" si="26"/>
        <v>4807.5708742416118</v>
      </c>
      <c r="G152" s="8">
        <f t="shared" si="26"/>
        <v>-2350.2369123229328</v>
      </c>
      <c r="H152" s="8">
        <f t="shared" si="26"/>
        <v>1735.9618097972134</v>
      </c>
      <c r="I152" s="8">
        <f t="shared" si="26"/>
        <v>-3211.7584450357017</v>
      </c>
      <c r="J152" s="8">
        <f t="shared" si="26"/>
        <v>-1386</v>
      </c>
      <c r="K152" s="8">
        <f t="shared" si="26"/>
        <v>-769.99999999999977</v>
      </c>
      <c r="L152" s="8">
        <f t="shared" si="26"/>
        <v>0</v>
      </c>
      <c r="M152" s="8">
        <f t="shared" si="26"/>
        <v>0</v>
      </c>
      <c r="N152" s="8">
        <f t="shared" si="26"/>
        <v>0</v>
      </c>
      <c r="P152" s="7">
        <f t="shared" si="5"/>
        <v>56</v>
      </c>
      <c r="Q152" s="10">
        <f t="shared" si="6"/>
        <v>0</v>
      </c>
      <c r="R152" s="10">
        <f t="shared" si="7"/>
        <v>0</v>
      </c>
      <c r="S152" s="10">
        <f t="shared" si="8"/>
        <v>1.6939338820520788E-11</v>
      </c>
      <c r="T152" s="10">
        <f t="shared" si="13"/>
        <v>0</v>
      </c>
      <c r="U152" s="10">
        <f t="shared" si="14"/>
        <v>0</v>
      </c>
      <c r="X152" s="7">
        <f t="shared" si="9"/>
        <v>56</v>
      </c>
      <c r="Y152" s="10">
        <f t="shared" si="10"/>
        <v>0</v>
      </c>
      <c r="Z152" s="10">
        <f t="shared" si="11"/>
        <v>0</v>
      </c>
      <c r="AA152" s="10">
        <f t="shared" si="12"/>
        <v>2.5011104298755527E-11</v>
      </c>
      <c r="AB152" s="10">
        <f t="shared" si="15"/>
        <v>0</v>
      </c>
      <c r="AC152" s="10">
        <f t="shared" si="16"/>
        <v>0</v>
      </c>
    </row>
    <row r="153" spans="2:29">
      <c r="B153" s="1" t="s">
        <v>106</v>
      </c>
      <c r="C153" s="1" t="s">
        <v>106</v>
      </c>
      <c r="D153" s="1" t="s">
        <v>106</v>
      </c>
      <c r="E153" s="1" t="s">
        <v>106</v>
      </c>
      <c r="F153" s="1" t="s">
        <v>106</v>
      </c>
      <c r="G153" s="1" t="s">
        <v>106</v>
      </c>
      <c r="H153" s="1" t="s">
        <v>106</v>
      </c>
      <c r="I153" s="1" t="s">
        <v>107</v>
      </c>
      <c r="J153" s="1" t="s">
        <v>107</v>
      </c>
      <c r="K153" s="1" t="s">
        <v>107</v>
      </c>
      <c r="L153" s="1" t="s">
        <v>107</v>
      </c>
      <c r="M153" s="1" t="s">
        <v>107</v>
      </c>
      <c r="N153" s="1" t="s">
        <v>107</v>
      </c>
      <c r="P153" s="7">
        <f t="shared" si="5"/>
        <v>57</v>
      </c>
      <c r="Q153" s="10">
        <f t="shared" si="6"/>
        <v>0</v>
      </c>
      <c r="R153" s="10">
        <f t="shared" si="7"/>
        <v>0</v>
      </c>
      <c r="S153" s="10">
        <f t="shared" si="8"/>
        <v>1.6939338820520788E-11</v>
      </c>
      <c r="T153" s="10">
        <f t="shared" si="13"/>
        <v>0</v>
      </c>
      <c r="U153" s="10">
        <f t="shared" si="14"/>
        <v>0</v>
      </c>
      <c r="X153" s="7">
        <f t="shared" si="9"/>
        <v>57</v>
      </c>
      <c r="Y153" s="10">
        <f t="shared" si="10"/>
        <v>0</v>
      </c>
      <c r="Z153" s="10">
        <f t="shared" si="11"/>
        <v>0</v>
      </c>
      <c r="AA153" s="10">
        <f t="shared" si="12"/>
        <v>2.5011104298755527E-11</v>
      </c>
      <c r="AB153" s="10">
        <f t="shared" si="15"/>
        <v>0</v>
      </c>
      <c r="AC153" s="10">
        <f t="shared" si="16"/>
        <v>0</v>
      </c>
    </row>
    <row r="154" spans="2:29">
      <c r="P154" s="7">
        <f t="shared" si="5"/>
        <v>58</v>
      </c>
      <c r="Q154" s="10">
        <f t="shared" si="6"/>
        <v>0</v>
      </c>
      <c r="R154" s="10">
        <f t="shared" si="7"/>
        <v>0</v>
      </c>
      <c r="S154" s="10">
        <f t="shared" si="8"/>
        <v>1.6939338820520788E-11</v>
      </c>
      <c r="T154" s="10">
        <f t="shared" si="13"/>
        <v>0</v>
      </c>
      <c r="U154" s="10">
        <f t="shared" si="14"/>
        <v>0</v>
      </c>
      <c r="X154" s="7">
        <f t="shared" si="9"/>
        <v>58</v>
      </c>
      <c r="Y154" s="10">
        <f t="shared" si="10"/>
        <v>0</v>
      </c>
      <c r="Z154" s="10">
        <f t="shared" si="11"/>
        <v>0</v>
      </c>
      <c r="AA154" s="10">
        <f t="shared" si="12"/>
        <v>2.5011104298755527E-11</v>
      </c>
      <c r="AB154" s="10">
        <f t="shared" si="15"/>
        <v>0</v>
      </c>
      <c r="AC154" s="10">
        <f t="shared" si="16"/>
        <v>0</v>
      </c>
    </row>
    <row r="155" spans="2:29">
      <c r="B155" s="1" t="s">
        <v>143</v>
      </c>
      <c r="E155" s="17">
        <f>NPV(E137,D152:N152)</f>
        <v>7098.1986683131099</v>
      </c>
      <c r="P155" s="7">
        <f t="shared" si="5"/>
        <v>59</v>
      </c>
      <c r="Q155" s="10">
        <f t="shared" si="6"/>
        <v>0</v>
      </c>
      <c r="R155" s="10">
        <f t="shared" si="7"/>
        <v>0</v>
      </c>
      <c r="S155" s="10">
        <f t="shared" si="8"/>
        <v>1.6939338820520788E-11</v>
      </c>
      <c r="T155" s="10">
        <f t="shared" si="13"/>
        <v>0</v>
      </c>
      <c r="U155" s="10">
        <f t="shared" si="14"/>
        <v>0</v>
      </c>
      <c r="X155" s="7">
        <f t="shared" si="9"/>
        <v>59</v>
      </c>
      <c r="Y155" s="10">
        <f t="shared" si="10"/>
        <v>0</v>
      </c>
      <c r="Z155" s="10">
        <f t="shared" si="11"/>
        <v>0</v>
      </c>
      <c r="AA155" s="10">
        <f t="shared" si="12"/>
        <v>2.5011104298755527E-11</v>
      </c>
      <c r="AB155" s="10">
        <f t="shared" si="15"/>
        <v>0</v>
      </c>
      <c r="AC155" s="10">
        <f t="shared" si="16"/>
        <v>0</v>
      </c>
    </row>
    <row r="156" spans="2:29">
      <c r="B156" s="1" t="s">
        <v>106</v>
      </c>
      <c r="C156" s="1" t="s">
        <v>106</v>
      </c>
      <c r="D156" s="1" t="s">
        <v>106</v>
      </c>
      <c r="E156" s="1" t="s">
        <v>107</v>
      </c>
      <c r="P156" s="7">
        <f t="shared" si="5"/>
        <v>60</v>
      </c>
      <c r="Q156" s="10">
        <f t="shared" si="6"/>
        <v>0</v>
      </c>
      <c r="R156" s="10">
        <f t="shared" si="7"/>
        <v>0</v>
      </c>
      <c r="S156" s="10">
        <f t="shared" si="8"/>
        <v>1.6939338820520788E-11</v>
      </c>
      <c r="T156" s="10">
        <f t="shared" si="13"/>
        <v>0</v>
      </c>
      <c r="U156" s="10">
        <f t="shared" si="14"/>
        <v>0</v>
      </c>
      <c r="X156" s="7">
        <f t="shared" si="9"/>
        <v>60</v>
      </c>
      <c r="Y156" s="10">
        <f t="shared" si="10"/>
        <v>0</v>
      </c>
      <c r="Z156" s="10">
        <f t="shared" si="11"/>
        <v>0</v>
      </c>
      <c r="AA156" s="10">
        <f t="shared" si="12"/>
        <v>2.5011104298755527E-11</v>
      </c>
      <c r="AB156" s="10">
        <f t="shared" si="15"/>
        <v>0</v>
      </c>
      <c r="AC156" s="10">
        <f t="shared" si="16"/>
        <v>0</v>
      </c>
    </row>
    <row r="157" spans="2:29">
      <c r="P157" s="7">
        <f t="shared" si="5"/>
        <v>61</v>
      </c>
      <c r="Q157" s="10">
        <f t="shared" si="6"/>
        <v>0</v>
      </c>
      <c r="R157" s="10">
        <f t="shared" si="7"/>
        <v>0</v>
      </c>
      <c r="S157" s="10">
        <f t="shared" si="8"/>
        <v>1.6939338820520788E-11</v>
      </c>
      <c r="T157" s="10">
        <f t="shared" si="13"/>
        <v>0</v>
      </c>
      <c r="U157" s="10">
        <f t="shared" si="14"/>
        <v>0</v>
      </c>
      <c r="X157" s="7">
        <f t="shared" si="9"/>
        <v>61</v>
      </c>
      <c r="Y157" s="10">
        <f t="shared" si="10"/>
        <v>0</v>
      </c>
      <c r="Z157" s="10">
        <f t="shared" si="11"/>
        <v>0</v>
      </c>
      <c r="AA157" s="10">
        <f t="shared" si="12"/>
        <v>2.5011104298755527E-11</v>
      </c>
      <c r="AB157" s="10">
        <f t="shared" si="15"/>
        <v>0</v>
      </c>
      <c r="AC157" s="10">
        <f t="shared" si="16"/>
        <v>0</v>
      </c>
    </row>
    <row r="158" spans="2:29">
      <c r="P158" s="7">
        <f t="shared" si="5"/>
        <v>62</v>
      </c>
      <c r="Q158" s="10">
        <f t="shared" si="6"/>
        <v>0</v>
      </c>
      <c r="R158" s="10">
        <f t="shared" si="7"/>
        <v>0</v>
      </c>
      <c r="S158" s="10">
        <f t="shared" si="8"/>
        <v>1.6939338820520788E-11</v>
      </c>
      <c r="T158" s="10">
        <f t="shared" si="13"/>
        <v>0</v>
      </c>
      <c r="U158" s="10">
        <f t="shared" si="14"/>
        <v>0</v>
      </c>
      <c r="X158" s="7">
        <f t="shared" si="9"/>
        <v>62</v>
      </c>
      <c r="Y158" s="10">
        <f t="shared" si="10"/>
        <v>0</v>
      </c>
      <c r="Z158" s="10">
        <f t="shared" si="11"/>
        <v>0</v>
      </c>
      <c r="AA158" s="10">
        <f t="shared" si="12"/>
        <v>2.5011104298755527E-11</v>
      </c>
      <c r="AB158" s="10">
        <f t="shared" si="15"/>
        <v>0</v>
      </c>
      <c r="AC158" s="10">
        <f t="shared" si="16"/>
        <v>0</v>
      </c>
    </row>
    <row r="159" spans="2:29">
      <c r="P159" s="7">
        <f t="shared" si="5"/>
        <v>63</v>
      </c>
      <c r="Q159" s="10">
        <f t="shared" si="6"/>
        <v>0</v>
      </c>
      <c r="R159" s="10">
        <f t="shared" si="7"/>
        <v>0</v>
      </c>
      <c r="S159" s="10">
        <f t="shared" si="8"/>
        <v>1.6939338820520788E-11</v>
      </c>
      <c r="T159" s="10">
        <f t="shared" si="13"/>
        <v>0</v>
      </c>
      <c r="U159" s="10">
        <f t="shared" si="14"/>
        <v>0</v>
      </c>
      <c r="X159" s="7">
        <f t="shared" si="9"/>
        <v>63</v>
      </c>
      <c r="Y159" s="10">
        <f t="shared" si="10"/>
        <v>0</v>
      </c>
      <c r="Z159" s="10">
        <f t="shared" si="11"/>
        <v>0</v>
      </c>
      <c r="AA159" s="10">
        <f t="shared" si="12"/>
        <v>2.5011104298755527E-11</v>
      </c>
      <c r="AB159" s="10">
        <f t="shared" si="15"/>
        <v>0</v>
      </c>
      <c r="AC159" s="10">
        <f t="shared" si="16"/>
        <v>0</v>
      </c>
    </row>
    <row r="160" spans="2:29">
      <c r="P160" s="7">
        <f t="shared" si="5"/>
        <v>64</v>
      </c>
      <c r="Q160" s="10">
        <f t="shared" si="6"/>
        <v>0</v>
      </c>
      <c r="R160" s="10">
        <f t="shared" si="7"/>
        <v>0</v>
      </c>
      <c r="S160" s="10">
        <f t="shared" si="8"/>
        <v>1.6939338820520788E-11</v>
      </c>
      <c r="T160" s="10">
        <f t="shared" si="13"/>
        <v>0</v>
      </c>
      <c r="U160" s="10">
        <f t="shared" si="14"/>
        <v>0</v>
      </c>
      <c r="X160" s="7">
        <f t="shared" si="9"/>
        <v>64</v>
      </c>
      <c r="Y160" s="10">
        <f t="shared" si="10"/>
        <v>0</v>
      </c>
      <c r="Z160" s="10">
        <f t="shared" si="11"/>
        <v>0</v>
      </c>
      <c r="AA160" s="10">
        <f t="shared" si="12"/>
        <v>2.5011104298755527E-11</v>
      </c>
      <c r="AB160" s="10">
        <f t="shared" si="15"/>
        <v>0</v>
      </c>
      <c r="AC160" s="10">
        <f t="shared" si="16"/>
        <v>0</v>
      </c>
    </row>
    <row r="161" spans="1:29">
      <c r="A161">
        <v>4</v>
      </c>
      <c r="B161" s="1" t="s">
        <v>162</v>
      </c>
      <c r="P161" s="7">
        <f t="shared" ref="P161:P197" si="27">P160+1</f>
        <v>65</v>
      </c>
      <c r="Q161" s="10">
        <f t="shared" ref="Q161:Q192" si="28">IF(S160&lt;0.01,0,+S160*$E$98)</f>
        <v>0</v>
      </c>
      <c r="R161" s="10">
        <f t="shared" ref="R161:R192" si="29">IF(S160&lt;0.01,0,+$E$100-Q161)</f>
        <v>0</v>
      </c>
      <c r="S161" s="10">
        <f t="shared" ref="S161:S197" si="30">IF(S160&lt;=0,0,+S160-R161)</f>
        <v>1.6939338820520788E-11</v>
      </c>
      <c r="T161" s="10">
        <f t="shared" si="13"/>
        <v>0</v>
      </c>
      <c r="U161" s="10">
        <f t="shared" si="14"/>
        <v>0</v>
      </c>
      <c r="X161" s="7">
        <f t="shared" ref="X161:X197" si="31">X160+1</f>
        <v>65</v>
      </c>
      <c r="Y161" s="10">
        <f t="shared" ref="Y161:Y192" si="32">IF(AA160&lt;0.01,0,+AA160*$E$133)</f>
        <v>0</v>
      </c>
      <c r="Z161" s="10">
        <f t="shared" ref="Z161:Z192" si="33">IF(AA160&lt;0.01,0,+$E$134-Y161)</f>
        <v>0</v>
      </c>
      <c r="AA161" s="10">
        <f t="shared" ref="AA161:AA197" si="34">IF(AA160&lt;=0,0,+AA160-Z161)</f>
        <v>2.5011104298755527E-11</v>
      </c>
      <c r="AB161" s="10">
        <f t="shared" si="15"/>
        <v>0</v>
      </c>
      <c r="AC161" s="10">
        <f t="shared" si="16"/>
        <v>0</v>
      </c>
    </row>
    <row r="162" spans="1:29">
      <c r="B162" s="1" t="s">
        <v>106</v>
      </c>
      <c r="C162" s="1" t="s">
        <v>106</v>
      </c>
      <c r="D162" s="6" t="s">
        <v>106</v>
      </c>
      <c r="E162" s="6" t="s">
        <v>107</v>
      </c>
      <c r="P162" s="7">
        <f t="shared" si="27"/>
        <v>66</v>
      </c>
      <c r="Q162" s="10">
        <f t="shared" si="28"/>
        <v>0</v>
      </c>
      <c r="R162" s="10">
        <f t="shared" si="29"/>
        <v>0</v>
      </c>
      <c r="S162" s="10">
        <f t="shared" si="30"/>
        <v>1.6939338820520788E-11</v>
      </c>
      <c r="T162" s="10">
        <f t="shared" ref="T162:T197" si="35">IF(S161&lt;0.01,0,+T161+Q162)</f>
        <v>0</v>
      </c>
      <c r="U162" s="10">
        <f t="shared" ref="U162:U197" si="36">IF(S161&lt;0.01,0,+U161+R162)</f>
        <v>0</v>
      </c>
      <c r="X162" s="7">
        <f t="shared" si="31"/>
        <v>66</v>
      </c>
      <c r="Y162" s="10">
        <f t="shared" si="32"/>
        <v>0</v>
      </c>
      <c r="Z162" s="10">
        <f t="shared" si="33"/>
        <v>0</v>
      </c>
      <c r="AA162" s="10">
        <f t="shared" si="34"/>
        <v>2.5011104298755527E-11</v>
      </c>
      <c r="AB162" s="10">
        <f t="shared" ref="AB162:AB197" si="37">IF(AA161&lt;0.01,0,+AB161+Y162)</f>
        <v>0</v>
      </c>
      <c r="AC162" s="10">
        <f t="shared" ref="AC162:AC197" si="38">IF(AA161&lt;0.01,0,+AC161+Z162)</f>
        <v>0</v>
      </c>
    </row>
    <row r="163" spans="1:29">
      <c r="P163" s="7">
        <f t="shared" si="27"/>
        <v>67</v>
      </c>
      <c r="Q163" s="10">
        <f t="shared" si="28"/>
        <v>0</v>
      </c>
      <c r="R163" s="10">
        <f t="shared" si="29"/>
        <v>0</v>
      </c>
      <c r="S163" s="10">
        <f t="shared" si="30"/>
        <v>1.6939338820520788E-11</v>
      </c>
      <c r="T163" s="10">
        <f t="shared" si="35"/>
        <v>0</v>
      </c>
      <c r="U163" s="10">
        <f t="shared" si="36"/>
        <v>0</v>
      </c>
      <c r="X163" s="7">
        <f t="shared" si="31"/>
        <v>67</v>
      </c>
      <c r="Y163" s="10">
        <f t="shared" si="32"/>
        <v>0</v>
      </c>
      <c r="Z163" s="10">
        <f t="shared" si="33"/>
        <v>0</v>
      </c>
      <c r="AA163" s="10">
        <f t="shared" si="34"/>
        <v>2.5011104298755527E-11</v>
      </c>
      <c r="AB163" s="10">
        <f t="shared" si="37"/>
        <v>0</v>
      </c>
      <c r="AC163" s="10">
        <f t="shared" si="38"/>
        <v>0</v>
      </c>
    </row>
    <row r="164" spans="1:29">
      <c r="B164" s="1" t="s">
        <v>125</v>
      </c>
      <c r="E164" s="17">
        <f>G3</f>
        <v>20000</v>
      </c>
      <c r="P164" s="7">
        <f t="shared" si="27"/>
        <v>68</v>
      </c>
      <c r="Q164" s="10">
        <f t="shared" si="28"/>
        <v>0</v>
      </c>
      <c r="R164" s="10">
        <f t="shared" si="29"/>
        <v>0</v>
      </c>
      <c r="S164" s="10">
        <f t="shared" si="30"/>
        <v>1.6939338820520788E-11</v>
      </c>
      <c r="T164" s="10">
        <f t="shared" si="35"/>
        <v>0</v>
      </c>
      <c r="U164" s="10">
        <f t="shared" si="36"/>
        <v>0</v>
      </c>
      <c r="X164" s="7">
        <f t="shared" si="31"/>
        <v>68</v>
      </c>
      <c r="Y164" s="10">
        <f t="shared" si="32"/>
        <v>0</v>
      </c>
      <c r="Z164" s="10">
        <f t="shared" si="33"/>
        <v>0</v>
      </c>
      <c r="AA164" s="10">
        <f t="shared" si="34"/>
        <v>2.5011104298755527E-11</v>
      </c>
      <c r="AB164" s="10">
        <f t="shared" si="37"/>
        <v>0</v>
      </c>
      <c r="AC164" s="10">
        <f t="shared" si="38"/>
        <v>0</v>
      </c>
    </row>
    <row r="165" spans="1:29">
      <c r="B165" s="1" t="s">
        <v>151</v>
      </c>
      <c r="E165" s="4">
        <f>G4</f>
        <v>0.18</v>
      </c>
      <c r="P165" s="7">
        <f t="shared" si="27"/>
        <v>69</v>
      </c>
      <c r="Q165" s="10">
        <f t="shared" si="28"/>
        <v>0</v>
      </c>
      <c r="R165" s="10">
        <f t="shared" si="29"/>
        <v>0</v>
      </c>
      <c r="S165" s="10">
        <f t="shared" si="30"/>
        <v>1.6939338820520788E-11</v>
      </c>
      <c r="T165" s="10">
        <f t="shared" si="35"/>
        <v>0</v>
      </c>
      <c r="U165" s="10">
        <f t="shared" si="36"/>
        <v>0</v>
      </c>
      <c r="X165" s="7">
        <f t="shared" si="31"/>
        <v>69</v>
      </c>
      <c r="Y165" s="10">
        <f t="shared" si="32"/>
        <v>0</v>
      </c>
      <c r="Z165" s="10">
        <f t="shared" si="33"/>
        <v>0</v>
      </c>
      <c r="AA165" s="10">
        <f t="shared" si="34"/>
        <v>2.5011104298755527E-11</v>
      </c>
      <c r="AB165" s="10">
        <f t="shared" si="37"/>
        <v>0</v>
      </c>
      <c r="AC165" s="10">
        <f t="shared" si="38"/>
        <v>0</v>
      </c>
    </row>
    <row r="166" spans="1:29">
      <c r="B166" s="1" t="s">
        <v>134</v>
      </c>
      <c r="E166" s="4">
        <f>G5</f>
        <v>0.38500000000000001</v>
      </c>
      <c r="P166" s="7">
        <f t="shared" si="27"/>
        <v>70</v>
      </c>
      <c r="Q166" s="10">
        <f t="shared" si="28"/>
        <v>0</v>
      </c>
      <c r="R166" s="10">
        <f t="shared" si="29"/>
        <v>0</v>
      </c>
      <c r="S166" s="10">
        <f t="shared" si="30"/>
        <v>1.6939338820520788E-11</v>
      </c>
      <c r="T166" s="10">
        <f t="shared" si="35"/>
        <v>0</v>
      </c>
      <c r="U166" s="10">
        <f t="shared" si="36"/>
        <v>0</v>
      </c>
      <c r="X166" s="7">
        <f t="shared" si="31"/>
        <v>70</v>
      </c>
      <c r="Y166" s="10">
        <f t="shared" si="32"/>
        <v>0</v>
      </c>
      <c r="Z166" s="10">
        <f t="shared" si="33"/>
        <v>0</v>
      </c>
      <c r="AA166" s="10">
        <f t="shared" si="34"/>
        <v>2.5011104298755527E-11</v>
      </c>
      <c r="AB166" s="10">
        <f t="shared" si="37"/>
        <v>0</v>
      </c>
      <c r="AC166" s="10">
        <f t="shared" si="38"/>
        <v>0</v>
      </c>
    </row>
    <row r="167" spans="1:29">
      <c r="B167" s="1" t="s">
        <v>135</v>
      </c>
      <c r="E167" s="4">
        <f>G7</f>
        <v>7.3799999999999991E-2</v>
      </c>
      <c r="P167" s="7">
        <f t="shared" si="27"/>
        <v>71</v>
      </c>
      <c r="Q167" s="10">
        <f t="shared" si="28"/>
        <v>0</v>
      </c>
      <c r="R167" s="10">
        <f t="shared" si="29"/>
        <v>0</v>
      </c>
      <c r="S167" s="10">
        <f t="shared" si="30"/>
        <v>1.6939338820520788E-11</v>
      </c>
      <c r="T167" s="10">
        <f t="shared" si="35"/>
        <v>0</v>
      </c>
      <c r="U167" s="10">
        <f t="shared" si="36"/>
        <v>0</v>
      </c>
      <c r="X167" s="7">
        <f t="shared" si="31"/>
        <v>71</v>
      </c>
      <c r="Y167" s="10">
        <f t="shared" si="32"/>
        <v>0</v>
      </c>
      <c r="Z167" s="10">
        <f t="shared" si="33"/>
        <v>0</v>
      </c>
      <c r="AA167" s="10">
        <f t="shared" si="34"/>
        <v>2.5011104298755527E-11</v>
      </c>
      <c r="AB167" s="10">
        <f t="shared" si="37"/>
        <v>0</v>
      </c>
      <c r="AC167" s="10">
        <f t="shared" si="38"/>
        <v>0</v>
      </c>
    </row>
    <row r="168" spans="1:29">
      <c r="P168" s="7">
        <f t="shared" si="27"/>
        <v>72</v>
      </c>
      <c r="Q168" s="10">
        <f t="shared" si="28"/>
        <v>0</v>
      </c>
      <c r="R168" s="10">
        <f t="shared" si="29"/>
        <v>0</v>
      </c>
      <c r="S168" s="10">
        <f t="shared" si="30"/>
        <v>1.6939338820520788E-11</v>
      </c>
      <c r="T168" s="10">
        <f t="shared" si="35"/>
        <v>0</v>
      </c>
      <c r="U168" s="10">
        <f t="shared" si="36"/>
        <v>0</v>
      </c>
      <c r="X168" s="7">
        <f t="shared" si="31"/>
        <v>72</v>
      </c>
      <c r="Y168" s="10">
        <f t="shared" si="32"/>
        <v>0</v>
      </c>
      <c r="Z168" s="10">
        <f t="shared" si="33"/>
        <v>0</v>
      </c>
      <c r="AA168" s="10">
        <f t="shared" si="34"/>
        <v>2.5011104298755527E-11</v>
      </c>
      <c r="AB168" s="10">
        <f t="shared" si="37"/>
        <v>0</v>
      </c>
      <c r="AC168" s="10">
        <f t="shared" si="38"/>
        <v>0</v>
      </c>
    </row>
    <row r="169" spans="1:29">
      <c r="D169" s="7">
        <v>0</v>
      </c>
      <c r="E169" s="7">
        <v>1</v>
      </c>
      <c r="F169" s="7">
        <v>2</v>
      </c>
      <c r="G169" s="7">
        <v>3</v>
      </c>
      <c r="H169" s="7">
        <v>4</v>
      </c>
      <c r="I169" s="7">
        <v>5</v>
      </c>
      <c r="J169" s="7">
        <v>6</v>
      </c>
      <c r="K169" s="7">
        <v>7</v>
      </c>
      <c r="L169" s="7">
        <v>8</v>
      </c>
      <c r="M169" s="7">
        <v>9</v>
      </c>
      <c r="N169" s="7">
        <v>10</v>
      </c>
      <c r="P169" s="7">
        <f t="shared" si="27"/>
        <v>73</v>
      </c>
      <c r="Q169" s="10">
        <f t="shared" si="28"/>
        <v>0</v>
      </c>
      <c r="R169" s="10">
        <f t="shared" si="29"/>
        <v>0</v>
      </c>
      <c r="S169" s="10">
        <f t="shared" si="30"/>
        <v>1.6939338820520788E-11</v>
      </c>
      <c r="T169" s="10">
        <f t="shared" si="35"/>
        <v>0</v>
      </c>
      <c r="U169" s="10">
        <f t="shared" si="36"/>
        <v>0</v>
      </c>
      <c r="X169" s="7">
        <f t="shared" si="31"/>
        <v>73</v>
      </c>
      <c r="Y169" s="10">
        <f t="shared" si="32"/>
        <v>0</v>
      </c>
      <c r="Z169" s="10">
        <f t="shared" si="33"/>
        <v>0</v>
      </c>
      <c r="AA169" s="10">
        <f t="shared" si="34"/>
        <v>2.5011104298755527E-11</v>
      </c>
      <c r="AB169" s="10">
        <f t="shared" si="37"/>
        <v>0</v>
      </c>
      <c r="AC169" s="10">
        <f t="shared" si="38"/>
        <v>0</v>
      </c>
    </row>
    <row r="170" spans="1:29">
      <c r="B170" s="1" t="s">
        <v>136</v>
      </c>
      <c r="C170" s="1" t="s">
        <v>136</v>
      </c>
      <c r="D170" s="1" t="s">
        <v>136</v>
      </c>
      <c r="E170" s="1" t="s">
        <v>136</v>
      </c>
      <c r="F170" s="1" t="s">
        <v>136</v>
      </c>
      <c r="G170" s="1" t="s">
        <v>136</v>
      </c>
      <c r="H170" s="1" t="s">
        <v>136</v>
      </c>
      <c r="I170" s="1" t="s">
        <v>136</v>
      </c>
      <c r="J170" s="1" t="s">
        <v>136</v>
      </c>
      <c r="K170" s="1" t="s">
        <v>136</v>
      </c>
      <c r="L170" s="1" t="s">
        <v>136</v>
      </c>
      <c r="M170" s="1" t="s">
        <v>136</v>
      </c>
      <c r="N170" s="1" t="s">
        <v>26</v>
      </c>
      <c r="P170" s="7">
        <f t="shared" si="27"/>
        <v>74</v>
      </c>
      <c r="Q170" s="10">
        <f t="shared" si="28"/>
        <v>0</v>
      </c>
      <c r="R170" s="10">
        <f t="shared" si="29"/>
        <v>0</v>
      </c>
      <c r="S170" s="10">
        <f t="shared" si="30"/>
        <v>1.6939338820520788E-11</v>
      </c>
      <c r="T170" s="10">
        <f t="shared" si="35"/>
        <v>0</v>
      </c>
      <c r="U170" s="10">
        <f t="shared" si="36"/>
        <v>0</v>
      </c>
      <c r="X170" s="7">
        <f t="shared" si="31"/>
        <v>74</v>
      </c>
      <c r="Y170" s="10">
        <f t="shared" si="32"/>
        <v>0</v>
      </c>
      <c r="Z170" s="10">
        <f t="shared" si="33"/>
        <v>0</v>
      </c>
      <c r="AA170" s="10">
        <f t="shared" si="34"/>
        <v>2.5011104298755527E-11</v>
      </c>
      <c r="AB170" s="10">
        <f t="shared" si="37"/>
        <v>0</v>
      </c>
      <c r="AC170" s="10">
        <f t="shared" si="38"/>
        <v>0</v>
      </c>
    </row>
    <row r="171" spans="1:29">
      <c r="B171" s="1" t="s">
        <v>163</v>
      </c>
      <c r="D171" s="7">
        <f>E164</f>
        <v>20000</v>
      </c>
      <c r="P171" s="7">
        <f t="shared" si="27"/>
        <v>75</v>
      </c>
      <c r="Q171" s="10">
        <f t="shared" si="28"/>
        <v>0</v>
      </c>
      <c r="R171" s="10">
        <f t="shared" si="29"/>
        <v>0</v>
      </c>
      <c r="S171" s="10">
        <f t="shared" si="30"/>
        <v>1.6939338820520788E-11</v>
      </c>
      <c r="T171" s="10">
        <f t="shared" si="35"/>
        <v>0</v>
      </c>
      <c r="U171" s="10">
        <f t="shared" si="36"/>
        <v>0</v>
      </c>
      <c r="X171" s="7">
        <f t="shared" si="31"/>
        <v>75</v>
      </c>
      <c r="Y171" s="10">
        <f t="shared" si="32"/>
        <v>0</v>
      </c>
      <c r="Z171" s="10">
        <f t="shared" si="33"/>
        <v>0</v>
      </c>
      <c r="AA171" s="10">
        <f t="shared" si="34"/>
        <v>2.5011104298755527E-11</v>
      </c>
      <c r="AB171" s="10">
        <f t="shared" si="37"/>
        <v>0</v>
      </c>
      <c r="AC171" s="10">
        <f t="shared" si="38"/>
        <v>0</v>
      </c>
    </row>
    <row r="172" spans="1:29">
      <c r="B172" s="1" t="s">
        <v>164</v>
      </c>
      <c r="E172" s="7">
        <f t="shared" ref="E172:N172" si="39">E182*$G$8*(1-$G$5)</f>
        <v>615</v>
      </c>
      <c r="F172" s="7">
        <f t="shared" si="39"/>
        <v>504.3</v>
      </c>
      <c r="G172" s="7">
        <f t="shared" si="39"/>
        <v>393.6</v>
      </c>
      <c r="H172" s="7">
        <f t="shared" si="39"/>
        <v>282.89999999999998</v>
      </c>
      <c r="I172" s="7">
        <f t="shared" si="39"/>
        <v>172.20000000000005</v>
      </c>
      <c r="J172" s="7">
        <f t="shared" si="39"/>
        <v>61.500000000000057</v>
      </c>
      <c r="K172" s="7">
        <f t="shared" si="39"/>
        <v>0</v>
      </c>
      <c r="L172" s="7">
        <f t="shared" si="39"/>
        <v>0</v>
      </c>
      <c r="M172" s="7">
        <f t="shared" si="39"/>
        <v>0</v>
      </c>
      <c r="N172" s="7">
        <f t="shared" si="39"/>
        <v>0</v>
      </c>
      <c r="P172" s="7">
        <f t="shared" si="27"/>
        <v>76</v>
      </c>
      <c r="Q172" s="10">
        <f t="shared" si="28"/>
        <v>0</v>
      </c>
      <c r="R172" s="10">
        <f t="shared" si="29"/>
        <v>0</v>
      </c>
      <c r="S172" s="10">
        <f t="shared" si="30"/>
        <v>1.6939338820520788E-11</v>
      </c>
      <c r="T172" s="10">
        <f t="shared" si="35"/>
        <v>0</v>
      </c>
      <c r="U172" s="10">
        <f t="shared" si="36"/>
        <v>0</v>
      </c>
      <c r="X172" s="7">
        <f t="shared" si="31"/>
        <v>76</v>
      </c>
      <c r="Y172" s="10">
        <f t="shared" si="32"/>
        <v>0</v>
      </c>
      <c r="Z172" s="10">
        <f t="shared" si="33"/>
        <v>0</v>
      </c>
      <c r="AA172" s="10">
        <f t="shared" si="34"/>
        <v>2.5011104298755527E-11</v>
      </c>
      <c r="AB172" s="10">
        <f t="shared" si="37"/>
        <v>0</v>
      </c>
      <c r="AC172" s="10">
        <f t="shared" si="38"/>
        <v>0</v>
      </c>
    </row>
    <row r="173" spans="1:29">
      <c r="B173" s="1" t="s">
        <v>165</v>
      </c>
      <c r="P173" s="7">
        <f t="shared" si="27"/>
        <v>77</v>
      </c>
      <c r="Q173" s="10">
        <f t="shared" si="28"/>
        <v>0</v>
      </c>
      <c r="R173" s="10">
        <f t="shared" si="29"/>
        <v>0</v>
      </c>
      <c r="S173" s="10">
        <f t="shared" si="30"/>
        <v>1.6939338820520788E-11</v>
      </c>
      <c r="T173" s="10">
        <f t="shared" si="35"/>
        <v>0</v>
      </c>
      <c r="U173" s="10">
        <f t="shared" si="36"/>
        <v>0</v>
      </c>
      <c r="X173" s="7">
        <f t="shared" si="31"/>
        <v>77</v>
      </c>
      <c r="Y173" s="10">
        <f t="shared" si="32"/>
        <v>0</v>
      </c>
      <c r="Z173" s="10">
        <f t="shared" si="33"/>
        <v>0</v>
      </c>
      <c r="AA173" s="10">
        <f t="shared" si="34"/>
        <v>2.5011104298755527E-11</v>
      </c>
      <c r="AB173" s="10">
        <f t="shared" si="37"/>
        <v>0</v>
      </c>
      <c r="AC173" s="10">
        <f t="shared" si="38"/>
        <v>0</v>
      </c>
    </row>
    <row r="174" spans="1:29">
      <c r="B174" s="1" t="s">
        <v>158</v>
      </c>
      <c r="F174" s="8">
        <f t="shared" ref="F174:N174" si="40">F116</f>
        <v>1039.5</v>
      </c>
      <c r="G174" s="8">
        <f t="shared" si="40"/>
        <v>1039.5</v>
      </c>
      <c r="H174" s="8">
        <f t="shared" si="40"/>
        <v>1039.5</v>
      </c>
      <c r="I174" s="8">
        <f t="shared" si="40"/>
        <v>1039.5</v>
      </c>
      <c r="J174" s="8">
        <f t="shared" si="40"/>
        <v>1039.5</v>
      </c>
      <c r="K174" s="8">
        <f t="shared" si="40"/>
        <v>577.49999999999977</v>
      </c>
      <c r="L174" s="8">
        <f t="shared" si="40"/>
        <v>0</v>
      </c>
      <c r="M174" s="8">
        <f t="shared" si="40"/>
        <v>0</v>
      </c>
      <c r="N174" s="8">
        <f t="shared" si="40"/>
        <v>0</v>
      </c>
      <c r="P174" s="7">
        <f t="shared" si="27"/>
        <v>78</v>
      </c>
      <c r="Q174" s="10">
        <f t="shared" si="28"/>
        <v>0</v>
      </c>
      <c r="R174" s="10">
        <f t="shared" si="29"/>
        <v>0</v>
      </c>
      <c r="S174" s="10">
        <f t="shared" si="30"/>
        <v>1.6939338820520788E-11</v>
      </c>
      <c r="T174" s="10">
        <f t="shared" si="35"/>
        <v>0</v>
      </c>
      <c r="U174" s="10">
        <f t="shared" si="36"/>
        <v>0</v>
      </c>
      <c r="X174" s="7">
        <f t="shared" si="31"/>
        <v>78</v>
      </c>
      <c r="Y174" s="10">
        <f t="shared" si="32"/>
        <v>0</v>
      </c>
      <c r="Z174" s="10">
        <f t="shared" si="33"/>
        <v>0</v>
      </c>
      <c r="AA174" s="10">
        <f t="shared" si="34"/>
        <v>2.5011104298755527E-11</v>
      </c>
      <c r="AB174" s="10">
        <f t="shared" si="37"/>
        <v>0</v>
      </c>
      <c r="AC174" s="10">
        <f t="shared" si="38"/>
        <v>0</v>
      </c>
    </row>
    <row r="175" spans="1:29">
      <c r="B175" s="1" t="s">
        <v>136</v>
      </c>
      <c r="C175" s="1" t="s">
        <v>136</v>
      </c>
      <c r="D175" s="1" t="s">
        <v>136</v>
      </c>
      <c r="E175" s="1" t="s">
        <v>136</v>
      </c>
      <c r="F175" s="1" t="s">
        <v>136</v>
      </c>
      <c r="G175" s="1" t="s">
        <v>136</v>
      </c>
      <c r="H175" s="1" t="s">
        <v>136</v>
      </c>
      <c r="I175" s="1" t="s">
        <v>136</v>
      </c>
      <c r="J175" s="1" t="s">
        <v>136</v>
      </c>
      <c r="K175" s="1" t="s">
        <v>136</v>
      </c>
      <c r="L175" s="1" t="s">
        <v>136</v>
      </c>
      <c r="M175" s="1" t="s">
        <v>136</v>
      </c>
      <c r="N175" s="1" t="s">
        <v>26</v>
      </c>
      <c r="P175" s="7">
        <f t="shared" si="27"/>
        <v>79</v>
      </c>
      <c r="Q175" s="10">
        <f t="shared" si="28"/>
        <v>0</v>
      </c>
      <c r="R175" s="10">
        <f t="shared" si="29"/>
        <v>0</v>
      </c>
      <c r="S175" s="10">
        <f t="shared" si="30"/>
        <v>1.6939338820520788E-11</v>
      </c>
      <c r="T175" s="10">
        <f t="shared" si="35"/>
        <v>0</v>
      </c>
      <c r="U175" s="10">
        <f t="shared" si="36"/>
        <v>0</v>
      </c>
      <c r="X175" s="7">
        <f t="shared" si="31"/>
        <v>79</v>
      </c>
      <c r="Y175" s="10">
        <f t="shared" si="32"/>
        <v>0</v>
      </c>
      <c r="Z175" s="10">
        <f t="shared" si="33"/>
        <v>0</v>
      </c>
      <c r="AA175" s="10">
        <f t="shared" si="34"/>
        <v>2.5011104298755527E-11</v>
      </c>
      <c r="AB175" s="10">
        <f t="shared" si="37"/>
        <v>0</v>
      </c>
      <c r="AC175" s="10">
        <f t="shared" si="38"/>
        <v>0</v>
      </c>
    </row>
    <row r="176" spans="1:29">
      <c r="D176" s="7">
        <f>D171-D174</f>
        <v>20000</v>
      </c>
      <c r="E176" s="8">
        <f t="shared" ref="E176:N176" si="41">SUM(E171:E172)-E174</f>
        <v>615</v>
      </c>
      <c r="F176" s="8">
        <f t="shared" si="41"/>
        <v>-535.20000000000005</v>
      </c>
      <c r="G176" s="8">
        <f t="shared" si="41"/>
        <v>-645.9</v>
      </c>
      <c r="H176" s="8">
        <f t="shared" si="41"/>
        <v>-756.6</v>
      </c>
      <c r="I176" s="8">
        <f t="shared" si="41"/>
        <v>-867.3</v>
      </c>
      <c r="J176" s="8">
        <f t="shared" si="41"/>
        <v>-978</v>
      </c>
      <c r="K176" s="8">
        <f t="shared" si="41"/>
        <v>-577.49999999999977</v>
      </c>
      <c r="L176" s="8">
        <f t="shared" si="41"/>
        <v>0</v>
      </c>
      <c r="M176" s="8">
        <f t="shared" si="41"/>
        <v>0</v>
      </c>
      <c r="N176" s="8">
        <f t="shared" si="41"/>
        <v>0</v>
      </c>
      <c r="P176" s="7">
        <f t="shared" si="27"/>
        <v>80</v>
      </c>
      <c r="Q176" s="10">
        <f t="shared" si="28"/>
        <v>0</v>
      </c>
      <c r="R176" s="10">
        <f t="shared" si="29"/>
        <v>0</v>
      </c>
      <c r="S176" s="10">
        <f t="shared" si="30"/>
        <v>1.6939338820520788E-11</v>
      </c>
      <c r="T176" s="10">
        <f t="shared" si="35"/>
        <v>0</v>
      </c>
      <c r="U176" s="10">
        <f t="shared" si="36"/>
        <v>0</v>
      </c>
      <c r="X176" s="7">
        <f t="shared" si="31"/>
        <v>80</v>
      </c>
      <c r="Y176" s="10">
        <f t="shared" si="32"/>
        <v>0</v>
      </c>
      <c r="Z176" s="10">
        <f t="shared" si="33"/>
        <v>0</v>
      </c>
      <c r="AA176" s="10">
        <f t="shared" si="34"/>
        <v>2.5011104298755527E-11</v>
      </c>
      <c r="AB176" s="10">
        <f t="shared" si="37"/>
        <v>0</v>
      </c>
      <c r="AC176" s="10">
        <f t="shared" si="38"/>
        <v>0</v>
      </c>
    </row>
    <row r="177" spans="2:29">
      <c r="B177" s="1" t="s">
        <v>106</v>
      </c>
      <c r="C177" s="1" t="s">
        <v>106</v>
      </c>
      <c r="D177" s="1" t="s">
        <v>106</v>
      </c>
      <c r="E177" s="1" t="s">
        <v>106</v>
      </c>
      <c r="F177" s="1" t="s">
        <v>106</v>
      </c>
      <c r="G177" s="1" t="s">
        <v>106</v>
      </c>
      <c r="H177" s="1" t="s">
        <v>106</v>
      </c>
      <c r="I177" s="1" t="s">
        <v>107</v>
      </c>
      <c r="J177" s="1" t="s">
        <v>107</v>
      </c>
      <c r="K177" s="1" t="s">
        <v>107</v>
      </c>
      <c r="L177" s="1" t="s">
        <v>107</v>
      </c>
      <c r="M177" s="1" t="s">
        <v>107</v>
      </c>
      <c r="N177" s="1" t="s">
        <v>107</v>
      </c>
      <c r="P177" s="7">
        <f t="shared" si="27"/>
        <v>81</v>
      </c>
      <c r="Q177" s="10">
        <f t="shared" si="28"/>
        <v>0</v>
      </c>
      <c r="R177" s="10">
        <f t="shared" si="29"/>
        <v>0</v>
      </c>
      <c r="S177" s="10">
        <f t="shared" si="30"/>
        <v>1.6939338820520788E-11</v>
      </c>
      <c r="T177" s="10">
        <f t="shared" si="35"/>
        <v>0</v>
      </c>
      <c r="U177" s="10">
        <f t="shared" si="36"/>
        <v>0</v>
      </c>
      <c r="X177" s="7">
        <f t="shared" si="31"/>
        <v>81</v>
      </c>
      <c r="Y177" s="10">
        <f t="shared" si="32"/>
        <v>0</v>
      </c>
      <c r="Z177" s="10">
        <f t="shared" si="33"/>
        <v>0</v>
      </c>
      <c r="AA177" s="10">
        <f t="shared" si="34"/>
        <v>2.5011104298755527E-11</v>
      </c>
      <c r="AB177" s="10">
        <f t="shared" si="37"/>
        <v>0</v>
      </c>
      <c r="AC177" s="10">
        <f t="shared" si="38"/>
        <v>0</v>
      </c>
    </row>
    <row r="178" spans="2:29">
      <c r="P178" s="7">
        <f t="shared" si="27"/>
        <v>82</v>
      </c>
      <c r="Q178" s="10">
        <f t="shared" si="28"/>
        <v>0</v>
      </c>
      <c r="R178" s="10">
        <f t="shared" si="29"/>
        <v>0</v>
      </c>
      <c r="S178" s="10">
        <f t="shared" si="30"/>
        <v>1.6939338820520788E-11</v>
      </c>
      <c r="T178" s="10">
        <f t="shared" si="35"/>
        <v>0</v>
      </c>
      <c r="U178" s="10">
        <f t="shared" si="36"/>
        <v>0</v>
      </c>
      <c r="X178" s="7">
        <f t="shared" si="31"/>
        <v>82</v>
      </c>
      <c r="Y178" s="10">
        <f t="shared" si="32"/>
        <v>0</v>
      </c>
      <c r="Z178" s="10">
        <f t="shared" si="33"/>
        <v>0</v>
      </c>
      <c r="AA178" s="10">
        <f t="shared" si="34"/>
        <v>2.5011104298755527E-11</v>
      </c>
      <c r="AB178" s="10">
        <f t="shared" si="37"/>
        <v>0</v>
      </c>
      <c r="AC178" s="10">
        <f t="shared" si="38"/>
        <v>0</v>
      </c>
    </row>
    <row r="179" spans="2:29">
      <c r="B179" s="1" t="s">
        <v>143</v>
      </c>
      <c r="E179" s="17">
        <f>NPV(E167,D176:N176)</f>
        <v>16224.178988961592</v>
      </c>
      <c r="P179" s="7">
        <f t="shared" si="27"/>
        <v>83</v>
      </c>
      <c r="Q179" s="10">
        <f t="shared" si="28"/>
        <v>0</v>
      </c>
      <c r="R179" s="10">
        <f t="shared" si="29"/>
        <v>0</v>
      </c>
      <c r="S179" s="10">
        <f t="shared" si="30"/>
        <v>1.6939338820520788E-11</v>
      </c>
      <c r="T179" s="10">
        <f t="shared" si="35"/>
        <v>0</v>
      </c>
      <c r="U179" s="10">
        <f t="shared" si="36"/>
        <v>0</v>
      </c>
      <c r="X179" s="7">
        <f t="shared" si="31"/>
        <v>83</v>
      </c>
      <c r="Y179" s="10">
        <f t="shared" si="32"/>
        <v>0</v>
      </c>
      <c r="Z179" s="10">
        <f t="shared" si="33"/>
        <v>0</v>
      </c>
      <c r="AA179" s="10">
        <f t="shared" si="34"/>
        <v>2.5011104298755527E-11</v>
      </c>
      <c r="AB179" s="10">
        <f t="shared" si="37"/>
        <v>0</v>
      </c>
      <c r="AC179" s="10">
        <f t="shared" si="38"/>
        <v>0</v>
      </c>
    </row>
    <row r="180" spans="2:29">
      <c r="B180" s="1" t="s">
        <v>106</v>
      </c>
      <c r="C180" s="1" t="s">
        <v>106</v>
      </c>
      <c r="D180" s="1" t="s">
        <v>106</v>
      </c>
      <c r="E180" s="1" t="s">
        <v>107</v>
      </c>
      <c r="P180" s="7">
        <f t="shared" si="27"/>
        <v>84</v>
      </c>
      <c r="Q180" s="10">
        <f t="shared" si="28"/>
        <v>0</v>
      </c>
      <c r="R180" s="10">
        <f t="shared" si="29"/>
        <v>0</v>
      </c>
      <c r="S180" s="10">
        <f t="shared" si="30"/>
        <v>1.6939338820520788E-11</v>
      </c>
      <c r="T180" s="10">
        <f t="shared" si="35"/>
        <v>0</v>
      </c>
      <c r="U180" s="10">
        <f t="shared" si="36"/>
        <v>0</v>
      </c>
      <c r="X180" s="7">
        <f t="shared" si="31"/>
        <v>84</v>
      </c>
      <c r="Y180" s="10">
        <f t="shared" si="32"/>
        <v>0</v>
      </c>
      <c r="Z180" s="10">
        <f t="shared" si="33"/>
        <v>0</v>
      </c>
      <c r="AA180" s="10">
        <f t="shared" si="34"/>
        <v>2.5011104298755527E-11</v>
      </c>
      <c r="AB180" s="10">
        <f t="shared" si="37"/>
        <v>0</v>
      </c>
      <c r="AC180" s="10">
        <f t="shared" si="38"/>
        <v>0</v>
      </c>
    </row>
    <row r="181" spans="2:29">
      <c r="P181" s="7">
        <f t="shared" si="27"/>
        <v>85</v>
      </c>
      <c r="Q181" s="10">
        <f t="shared" si="28"/>
        <v>0</v>
      </c>
      <c r="R181" s="10">
        <f t="shared" si="29"/>
        <v>0</v>
      </c>
      <c r="S181" s="10">
        <f t="shared" si="30"/>
        <v>1.6939338820520788E-11</v>
      </c>
      <c r="T181" s="10">
        <f t="shared" si="35"/>
        <v>0</v>
      </c>
      <c r="U181" s="10">
        <f t="shared" si="36"/>
        <v>0</v>
      </c>
      <c r="X181" s="7">
        <f t="shared" si="31"/>
        <v>85</v>
      </c>
      <c r="Y181" s="10">
        <f t="shared" si="32"/>
        <v>0</v>
      </c>
      <c r="Z181" s="10">
        <f t="shared" si="33"/>
        <v>0</v>
      </c>
      <c r="AA181" s="10">
        <f t="shared" si="34"/>
        <v>2.5011104298755527E-11</v>
      </c>
      <c r="AB181" s="10">
        <f t="shared" si="37"/>
        <v>0</v>
      </c>
      <c r="AC181" s="10">
        <f t="shared" si="38"/>
        <v>0</v>
      </c>
    </row>
    <row r="182" spans="2:29">
      <c r="B182" s="1" t="s">
        <v>166</v>
      </c>
      <c r="E182" s="7">
        <f>D171</f>
        <v>20000</v>
      </c>
      <c r="F182" s="7">
        <f t="shared" ref="F182:N182" si="42">IF(1-(E169*$G$4)&gt;0,+$D$171*(1-(E169*$G$4)),0)</f>
        <v>16400</v>
      </c>
      <c r="G182" s="7">
        <f t="shared" si="42"/>
        <v>12800</v>
      </c>
      <c r="H182" s="7">
        <f t="shared" si="42"/>
        <v>9200</v>
      </c>
      <c r="I182" s="7">
        <f t="shared" si="42"/>
        <v>5600.0000000000009</v>
      </c>
      <c r="J182" s="7">
        <f t="shared" si="42"/>
        <v>2000.0000000000018</v>
      </c>
      <c r="K182" s="7">
        <f t="shared" si="42"/>
        <v>0</v>
      </c>
      <c r="L182" s="7">
        <f t="shared" si="42"/>
        <v>0</v>
      </c>
      <c r="M182" s="7">
        <f t="shared" si="42"/>
        <v>0</v>
      </c>
      <c r="N182" s="7">
        <f t="shared" si="42"/>
        <v>0</v>
      </c>
      <c r="P182" s="7">
        <f t="shared" si="27"/>
        <v>86</v>
      </c>
      <c r="Q182" s="10">
        <f t="shared" si="28"/>
        <v>0</v>
      </c>
      <c r="R182" s="10">
        <f t="shared" si="29"/>
        <v>0</v>
      </c>
      <c r="S182" s="10">
        <f t="shared" si="30"/>
        <v>1.6939338820520788E-11</v>
      </c>
      <c r="T182" s="10">
        <f t="shared" si="35"/>
        <v>0</v>
      </c>
      <c r="U182" s="10">
        <f t="shared" si="36"/>
        <v>0</v>
      </c>
      <c r="X182" s="7">
        <f t="shared" si="31"/>
        <v>86</v>
      </c>
      <c r="Y182" s="10">
        <f t="shared" si="32"/>
        <v>0</v>
      </c>
      <c r="Z182" s="10">
        <f t="shared" si="33"/>
        <v>0</v>
      </c>
      <c r="AA182" s="10">
        <f t="shared" si="34"/>
        <v>2.5011104298755527E-11</v>
      </c>
      <c r="AB182" s="10">
        <f t="shared" si="37"/>
        <v>0</v>
      </c>
      <c r="AC182" s="10">
        <f t="shared" si="38"/>
        <v>0</v>
      </c>
    </row>
    <row r="183" spans="2:29">
      <c r="P183" s="7">
        <f t="shared" si="27"/>
        <v>87</v>
      </c>
      <c r="Q183" s="10">
        <f t="shared" si="28"/>
        <v>0</v>
      </c>
      <c r="R183" s="10">
        <f t="shared" si="29"/>
        <v>0</v>
      </c>
      <c r="S183" s="10">
        <f t="shared" si="30"/>
        <v>1.6939338820520788E-11</v>
      </c>
      <c r="T183" s="10">
        <f t="shared" si="35"/>
        <v>0</v>
      </c>
      <c r="U183" s="10">
        <f t="shared" si="36"/>
        <v>0</v>
      </c>
      <c r="X183" s="7">
        <f t="shared" si="31"/>
        <v>87</v>
      </c>
      <c r="Y183" s="10">
        <f t="shared" si="32"/>
        <v>0</v>
      </c>
      <c r="Z183" s="10">
        <f t="shared" si="33"/>
        <v>0</v>
      </c>
      <c r="AA183" s="10">
        <f t="shared" si="34"/>
        <v>2.5011104298755527E-11</v>
      </c>
      <c r="AB183" s="10">
        <f t="shared" si="37"/>
        <v>0</v>
      </c>
      <c r="AC183" s="10">
        <f t="shared" si="38"/>
        <v>0</v>
      </c>
    </row>
    <row r="184" spans="2:29">
      <c r="P184" s="7">
        <f t="shared" si="27"/>
        <v>88</v>
      </c>
      <c r="Q184" s="10">
        <f t="shared" si="28"/>
        <v>0</v>
      </c>
      <c r="R184" s="10">
        <f t="shared" si="29"/>
        <v>0</v>
      </c>
      <c r="S184" s="10">
        <f t="shared" si="30"/>
        <v>1.6939338820520788E-11</v>
      </c>
      <c r="T184" s="10">
        <f t="shared" si="35"/>
        <v>0</v>
      </c>
      <c r="U184" s="10">
        <f t="shared" si="36"/>
        <v>0</v>
      </c>
      <c r="X184" s="7">
        <f t="shared" si="31"/>
        <v>88</v>
      </c>
      <c r="Y184" s="10">
        <f t="shared" si="32"/>
        <v>0</v>
      </c>
      <c r="Z184" s="10">
        <f t="shared" si="33"/>
        <v>0</v>
      </c>
      <c r="AA184" s="10">
        <f t="shared" si="34"/>
        <v>2.5011104298755527E-11</v>
      </c>
      <c r="AB184" s="10">
        <f t="shared" si="37"/>
        <v>0</v>
      </c>
      <c r="AC184" s="10">
        <f t="shared" si="38"/>
        <v>0</v>
      </c>
    </row>
    <row r="185" spans="2:29">
      <c r="P185" s="7">
        <f t="shared" si="27"/>
        <v>89</v>
      </c>
      <c r="Q185" s="10">
        <f t="shared" si="28"/>
        <v>0</v>
      </c>
      <c r="R185" s="10">
        <f t="shared" si="29"/>
        <v>0</v>
      </c>
      <c r="S185" s="10">
        <f t="shared" si="30"/>
        <v>1.6939338820520788E-11</v>
      </c>
      <c r="T185" s="10">
        <f t="shared" si="35"/>
        <v>0</v>
      </c>
      <c r="U185" s="10">
        <f t="shared" si="36"/>
        <v>0</v>
      </c>
      <c r="X185" s="7">
        <f t="shared" si="31"/>
        <v>89</v>
      </c>
      <c r="Y185" s="10">
        <f t="shared" si="32"/>
        <v>0</v>
      </c>
      <c r="Z185" s="10">
        <f t="shared" si="33"/>
        <v>0</v>
      </c>
      <c r="AA185" s="10">
        <f t="shared" si="34"/>
        <v>2.5011104298755527E-11</v>
      </c>
      <c r="AB185" s="10">
        <f t="shared" si="37"/>
        <v>0</v>
      </c>
      <c r="AC185" s="10">
        <f t="shared" si="38"/>
        <v>0</v>
      </c>
    </row>
    <row r="186" spans="2:29">
      <c r="P186" s="7">
        <f t="shared" si="27"/>
        <v>90</v>
      </c>
      <c r="Q186" s="10">
        <f t="shared" si="28"/>
        <v>0</v>
      </c>
      <c r="R186" s="10">
        <f t="shared" si="29"/>
        <v>0</v>
      </c>
      <c r="S186" s="10">
        <f t="shared" si="30"/>
        <v>1.6939338820520788E-11</v>
      </c>
      <c r="T186" s="10">
        <f t="shared" si="35"/>
        <v>0</v>
      </c>
      <c r="U186" s="10">
        <f t="shared" si="36"/>
        <v>0</v>
      </c>
      <c r="X186" s="7">
        <f t="shared" si="31"/>
        <v>90</v>
      </c>
      <c r="Y186" s="10">
        <f t="shared" si="32"/>
        <v>0</v>
      </c>
      <c r="Z186" s="10">
        <f t="shared" si="33"/>
        <v>0</v>
      </c>
      <c r="AA186" s="10">
        <f t="shared" si="34"/>
        <v>2.5011104298755527E-11</v>
      </c>
      <c r="AB186" s="10">
        <f t="shared" si="37"/>
        <v>0</v>
      </c>
      <c r="AC186" s="10">
        <f t="shared" si="38"/>
        <v>0</v>
      </c>
    </row>
    <row r="187" spans="2:29">
      <c r="P187" s="7">
        <f t="shared" si="27"/>
        <v>91</v>
      </c>
      <c r="Q187" s="10">
        <f t="shared" si="28"/>
        <v>0</v>
      </c>
      <c r="R187" s="10">
        <f t="shared" si="29"/>
        <v>0</v>
      </c>
      <c r="S187" s="10">
        <f t="shared" si="30"/>
        <v>1.6939338820520788E-11</v>
      </c>
      <c r="T187" s="10">
        <f t="shared" si="35"/>
        <v>0</v>
      </c>
      <c r="U187" s="10">
        <f t="shared" si="36"/>
        <v>0</v>
      </c>
      <c r="X187" s="7">
        <f t="shared" si="31"/>
        <v>91</v>
      </c>
      <c r="Y187" s="10">
        <f t="shared" si="32"/>
        <v>0</v>
      </c>
      <c r="Z187" s="10">
        <f t="shared" si="33"/>
        <v>0</v>
      </c>
      <c r="AA187" s="10">
        <f t="shared" si="34"/>
        <v>2.5011104298755527E-11</v>
      </c>
      <c r="AB187" s="10">
        <f t="shared" si="37"/>
        <v>0</v>
      </c>
      <c r="AC187" s="10">
        <f t="shared" si="38"/>
        <v>0</v>
      </c>
    </row>
    <row r="188" spans="2:29">
      <c r="P188" s="7">
        <f t="shared" si="27"/>
        <v>92</v>
      </c>
      <c r="Q188" s="10">
        <f t="shared" si="28"/>
        <v>0</v>
      </c>
      <c r="R188" s="10">
        <f t="shared" si="29"/>
        <v>0</v>
      </c>
      <c r="S188" s="10">
        <f t="shared" si="30"/>
        <v>1.6939338820520788E-11</v>
      </c>
      <c r="T188" s="10">
        <f t="shared" si="35"/>
        <v>0</v>
      </c>
      <c r="U188" s="10">
        <f t="shared" si="36"/>
        <v>0</v>
      </c>
      <c r="X188" s="7">
        <f t="shared" si="31"/>
        <v>92</v>
      </c>
      <c r="Y188" s="10">
        <f t="shared" si="32"/>
        <v>0</v>
      </c>
      <c r="Z188" s="10">
        <f t="shared" si="33"/>
        <v>0</v>
      </c>
      <c r="AA188" s="10">
        <f t="shared" si="34"/>
        <v>2.5011104298755527E-11</v>
      </c>
      <c r="AB188" s="10">
        <f t="shared" si="37"/>
        <v>0</v>
      </c>
      <c r="AC188" s="10">
        <f t="shared" si="38"/>
        <v>0</v>
      </c>
    </row>
    <row r="189" spans="2:29">
      <c r="P189" s="7">
        <f t="shared" si="27"/>
        <v>93</v>
      </c>
      <c r="Q189" s="10">
        <f t="shared" si="28"/>
        <v>0</v>
      </c>
      <c r="R189" s="10">
        <f t="shared" si="29"/>
        <v>0</v>
      </c>
      <c r="S189" s="10">
        <f t="shared" si="30"/>
        <v>1.6939338820520788E-11</v>
      </c>
      <c r="T189" s="10">
        <f t="shared" si="35"/>
        <v>0</v>
      </c>
      <c r="U189" s="10">
        <f t="shared" si="36"/>
        <v>0</v>
      </c>
      <c r="X189" s="7">
        <f t="shared" si="31"/>
        <v>93</v>
      </c>
      <c r="Y189" s="10">
        <f t="shared" si="32"/>
        <v>0</v>
      </c>
      <c r="Z189" s="10">
        <f t="shared" si="33"/>
        <v>0</v>
      </c>
      <c r="AA189" s="10">
        <f t="shared" si="34"/>
        <v>2.5011104298755527E-11</v>
      </c>
      <c r="AB189" s="10">
        <f t="shared" si="37"/>
        <v>0</v>
      </c>
      <c r="AC189" s="10">
        <f t="shared" si="38"/>
        <v>0</v>
      </c>
    </row>
    <row r="190" spans="2:29">
      <c r="P190" s="7">
        <f t="shared" si="27"/>
        <v>94</v>
      </c>
      <c r="Q190" s="10">
        <f t="shared" si="28"/>
        <v>0</v>
      </c>
      <c r="R190" s="10">
        <f t="shared" si="29"/>
        <v>0</v>
      </c>
      <c r="S190" s="10">
        <f t="shared" si="30"/>
        <v>1.6939338820520788E-11</v>
      </c>
      <c r="T190" s="10">
        <f t="shared" si="35"/>
        <v>0</v>
      </c>
      <c r="U190" s="10">
        <f t="shared" si="36"/>
        <v>0</v>
      </c>
      <c r="X190" s="7">
        <f t="shared" si="31"/>
        <v>94</v>
      </c>
      <c r="Y190" s="10">
        <f t="shared" si="32"/>
        <v>0</v>
      </c>
      <c r="Z190" s="10">
        <f t="shared" si="33"/>
        <v>0</v>
      </c>
      <c r="AA190" s="10">
        <f t="shared" si="34"/>
        <v>2.5011104298755527E-11</v>
      </c>
      <c r="AB190" s="10">
        <f t="shared" si="37"/>
        <v>0</v>
      </c>
      <c r="AC190" s="10">
        <f t="shared" si="38"/>
        <v>0</v>
      </c>
    </row>
    <row r="191" spans="2:29">
      <c r="P191" s="7">
        <f t="shared" si="27"/>
        <v>95</v>
      </c>
      <c r="Q191" s="10">
        <f t="shared" si="28"/>
        <v>0</v>
      </c>
      <c r="R191" s="10">
        <f t="shared" si="29"/>
        <v>0</v>
      </c>
      <c r="S191" s="10">
        <f t="shared" si="30"/>
        <v>1.6939338820520788E-11</v>
      </c>
      <c r="T191" s="10">
        <f t="shared" si="35"/>
        <v>0</v>
      </c>
      <c r="U191" s="10">
        <f t="shared" si="36"/>
        <v>0</v>
      </c>
      <c r="X191" s="7">
        <f t="shared" si="31"/>
        <v>95</v>
      </c>
      <c r="Y191" s="10">
        <f t="shared" si="32"/>
        <v>0</v>
      </c>
      <c r="Z191" s="10">
        <f t="shared" si="33"/>
        <v>0</v>
      </c>
      <c r="AA191" s="10">
        <f t="shared" si="34"/>
        <v>2.5011104298755527E-11</v>
      </c>
      <c r="AB191" s="10">
        <f t="shared" si="37"/>
        <v>0</v>
      </c>
      <c r="AC191" s="10">
        <f t="shared" si="38"/>
        <v>0</v>
      </c>
    </row>
    <row r="192" spans="2:29">
      <c r="P192" s="7">
        <f t="shared" si="27"/>
        <v>96</v>
      </c>
      <c r="Q192" s="10">
        <f t="shared" si="28"/>
        <v>0</v>
      </c>
      <c r="R192" s="10">
        <f t="shared" si="29"/>
        <v>0</v>
      </c>
      <c r="S192" s="10">
        <f t="shared" si="30"/>
        <v>1.6939338820520788E-11</v>
      </c>
      <c r="T192" s="10">
        <f t="shared" si="35"/>
        <v>0</v>
      </c>
      <c r="U192" s="10">
        <f t="shared" si="36"/>
        <v>0</v>
      </c>
      <c r="X192" s="7">
        <f t="shared" si="31"/>
        <v>96</v>
      </c>
      <c r="Y192" s="10">
        <f t="shared" si="32"/>
        <v>0</v>
      </c>
      <c r="Z192" s="10">
        <f t="shared" si="33"/>
        <v>0</v>
      </c>
      <c r="AA192" s="10">
        <f t="shared" si="34"/>
        <v>2.5011104298755527E-11</v>
      </c>
      <c r="AB192" s="10">
        <f t="shared" si="37"/>
        <v>0</v>
      </c>
      <c r="AC192" s="10">
        <f t="shared" si="38"/>
        <v>0</v>
      </c>
    </row>
    <row r="193" spans="16:30">
      <c r="P193" s="7">
        <f t="shared" si="27"/>
        <v>97</v>
      </c>
      <c r="Q193" s="10">
        <f>IF(S192&lt;0.01,0,+S192*$E$98)</f>
        <v>0</v>
      </c>
      <c r="R193" s="10">
        <f>IF(S192&lt;0.01,0,+$E$100-Q193)</f>
        <v>0</v>
      </c>
      <c r="S193" s="10">
        <f t="shared" si="30"/>
        <v>1.6939338820520788E-11</v>
      </c>
      <c r="T193" s="10">
        <f t="shared" si="35"/>
        <v>0</v>
      </c>
      <c r="U193" s="10">
        <f t="shared" si="36"/>
        <v>0</v>
      </c>
      <c r="X193" s="7">
        <f t="shared" si="31"/>
        <v>97</v>
      </c>
      <c r="Y193" s="10">
        <f>IF(AA192&lt;0.01,0,+AA192*$E$133)</f>
        <v>0</v>
      </c>
      <c r="Z193" s="10">
        <f>IF(AA192&lt;0.01,0,+$E$134-Y193)</f>
        <v>0</v>
      </c>
      <c r="AA193" s="10">
        <f t="shared" si="34"/>
        <v>2.5011104298755527E-11</v>
      </c>
      <c r="AB193" s="10">
        <f t="shared" si="37"/>
        <v>0</v>
      </c>
      <c r="AC193" s="10">
        <f t="shared" si="38"/>
        <v>0</v>
      </c>
    </row>
    <row r="194" spans="16:30">
      <c r="P194" s="7">
        <f t="shared" si="27"/>
        <v>98</v>
      </c>
      <c r="Q194" s="10">
        <f>IF(S193&lt;0.01,0,+S193*$E$98)</f>
        <v>0</v>
      </c>
      <c r="R194" s="10">
        <f>IF(S193&lt;0.01,0,+$E$100-Q194)</f>
        <v>0</v>
      </c>
      <c r="S194" s="10">
        <f t="shared" si="30"/>
        <v>1.6939338820520788E-11</v>
      </c>
      <c r="T194" s="10">
        <f t="shared" si="35"/>
        <v>0</v>
      </c>
      <c r="U194" s="10">
        <f t="shared" si="36"/>
        <v>0</v>
      </c>
      <c r="X194" s="7">
        <f t="shared" si="31"/>
        <v>98</v>
      </c>
      <c r="Y194" s="10">
        <f>IF(AA193&lt;0.01,0,+AA193*$E$133)</f>
        <v>0</v>
      </c>
      <c r="Z194" s="10">
        <f>IF(AA193&lt;0.01,0,+$E$134-Y194)</f>
        <v>0</v>
      </c>
      <c r="AA194" s="10">
        <f t="shared" si="34"/>
        <v>2.5011104298755527E-11</v>
      </c>
      <c r="AB194" s="10">
        <f t="shared" si="37"/>
        <v>0</v>
      </c>
      <c r="AC194" s="10">
        <f t="shared" si="38"/>
        <v>0</v>
      </c>
    </row>
    <row r="195" spans="16:30">
      <c r="P195" s="7">
        <f t="shared" si="27"/>
        <v>99</v>
      </c>
      <c r="Q195" s="10">
        <f>IF(S194&lt;0.01,0,+S194*$E$98)</f>
        <v>0</v>
      </c>
      <c r="R195" s="10">
        <f>IF(S194&lt;0.01,0,+$E$100-Q195)</f>
        <v>0</v>
      </c>
      <c r="S195" s="10">
        <f t="shared" si="30"/>
        <v>1.6939338820520788E-11</v>
      </c>
      <c r="T195" s="10">
        <f t="shared" si="35"/>
        <v>0</v>
      </c>
      <c r="U195" s="10">
        <f t="shared" si="36"/>
        <v>0</v>
      </c>
      <c r="X195" s="7">
        <f t="shared" si="31"/>
        <v>99</v>
      </c>
      <c r="Y195" s="10">
        <f>IF(AA194&lt;0.01,0,+AA194*$E$133)</f>
        <v>0</v>
      </c>
      <c r="Z195" s="10">
        <f>IF(AA194&lt;0.01,0,+$E$134-Y195)</f>
        <v>0</v>
      </c>
      <c r="AA195" s="10">
        <f t="shared" si="34"/>
        <v>2.5011104298755527E-11</v>
      </c>
      <c r="AB195" s="10">
        <f t="shared" si="37"/>
        <v>0</v>
      </c>
      <c r="AC195" s="10">
        <f t="shared" si="38"/>
        <v>0</v>
      </c>
    </row>
    <row r="196" spans="16:30">
      <c r="P196" s="7">
        <f t="shared" si="27"/>
        <v>100</v>
      </c>
      <c r="Q196" s="10">
        <f>IF(S195&lt;0.01,0,+S195*$E$98)</f>
        <v>0</v>
      </c>
      <c r="R196" s="10">
        <f>IF(S195&lt;0.01,0,+$E$100-Q196)</f>
        <v>0</v>
      </c>
      <c r="S196" s="10">
        <f t="shared" si="30"/>
        <v>1.6939338820520788E-11</v>
      </c>
      <c r="T196" s="10">
        <f t="shared" si="35"/>
        <v>0</v>
      </c>
      <c r="U196" s="10">
        <f t="shared" si="36"/>
        <v>0</v>
      </c>
      <c r="X196" s="7">
        <f t="shared" si="31"/>
        <v>100</v>
      </c>
      <c r="Y196" s="10">
        <f>IF(AA195&lt;0.01,0,+AA195*$E$133)</f>
        <v>0</v>
      </c>
      <c r="Z196" s="10">
        <f>IF(AA195&lt;0.01,0,+$E$134-Y196)</f>
        <v>0</v>
      </c>
      <c r="AA196" s="10">
        <f t="shared" si="34"/>
        <v>2.5011104298755527E-11</v>
      </c>
      <c r="AB196" s="10">
        <f t="shared" si="37"/>
        <v>0</v>
      </c>
      <c r="AC196" s="10">
        <f t="shared" si="38"/>
        <v>0</v>
      </c>
    </row>
    <row r="197" spans="16:30">
      <c r="P197" s="7">
        <f t="shared" si="27"/>
        <v>101</v>
      </c>
      <c r="Q197" s="10">
        <f>IF(S196&lt;0.01,0,+S196*$E$98)</f>
        <v>0</v>
      </c>
      <c r="R197" s="10">
        <f>IF(S196&lt;0.01,0,+$E$100-Q197)</f>
        <v>0</v>
      </c>
      <c r="S197" s="10">
        <f t="shared" si="30"/>
        <v>1.6939338820520788E-11</v>
      </c>
      <c r="T197" s="10">
        <f t="shared" si="35"/>
        <v>0</v>
      </c>
      <c r="U197" s="10">
        <f t="shared" si="36"/>
        <v>0</v>
      </c>
      <c r="X197" s="7">
        <f t="shared" si="31"/>
        <v>101</v>
      </c>
      <c r="Y197" s="10">
        <f>IF(AA196&lt;0.01,0,+AA196*$E$133)</f>
        <v>0</v>
      </c>
      <c r="Z197" s="10">
        <f>IF(AA196&lt;0.01,0,+$E$134-Y197)</f>
        <v>0</v>
      </c>
      <c r="AA197" s="10">
        <f t="shared" si="34"/>
        <v>2.5011104298755527E-11</v>
      </c>
      <c r="AB197" s="10">
        <f t="shared" si="37"/>
        <v>0</v>
      </c>
      <c r="AC197" s="10">
        <f t="shared" si="38"/>
        <v>0</v>
      </c>
    </row>
    <row r="198" spans="16:30">
      <c r="Q198" s="7">
        <f>P197+1</f>
        <v>102</v>
      </c>
      <c r="R198" s="10">
        <f>IF(S197&lt;0.01,0,+S197*$E$98)</f>
        <v>0</v>
      </c>
      <c r="S198" s="10">
        <f>IF(S197&lt;0.01,0,+$E$100-R198)</f>
        <v>0</v>
      </c>
      <c r="T198" s="10">
        <f>IF(S197&lt;=0,0,+S197-S198)</f>
        <v>1.6939338820520788E-11</v>
      </c>
      <c r="U198" s="10">
        <f>IF(S197&lt;0.01,0,+T197+R198)</f>
        <v>0</v>
      </c>
      <c r="V198" s="10">
        <f>IF(S197&lt;0.01,0,+U197+S198)</f>
        <v>0</v>
      </c>
      <c r="Y198" s="7">
        <f>X197+1</f>
        <v>102</v>
      </c>
      <c r="Z198" s="10">
        <f>IF(AA197&lt;0.01,0,+AA197*$E$133)</f>
        <v>0</v>
      </c>
      <c r="AA198" s="10">
        <f>IF(AA197&lt;0.01,0,+$E$134-Z198)</f>
        <v>0</v>
      </c>
      <c r="AB198" s="10">
        <f>IF(AA197&lt;=0,0,+AA197-AA198)</f>
        <v>2.5011104298755527E-11</v>
      </c>
      <c r="AC198" s="10">
        <f>IF(AA197&lt;0.01,0,+AB197+Z198)</f>
        <v>0</v>
      </c>
      <c r="AD198" s="10">
        <f>IF(AA197&lt;0.01,0,+AC197+AA198)</f>
        <v>0</v>
      </c>
    </row>
    <row r="199" spans="16:30">
      <c r="Q199" s="7">
        <f>Q198+1</f>
        <v>103</v>
      </c>
      <c r="R199" s="10">
        <f t="shared" ref="R199:R216" si="43">IF(T198&lt;0.01,0,+T198*$E$98)</f>
        <v>0</v>
      </c>
      <c r="S199" s="10">
        <f t="shared" ref="S199:S216" si="44">IF(T198&lt;0.01,0,+$E$100-R199)</f>
        <v>0</v>
      </c>
      <c r="T199" s="10">
        <f>IF(T198&lt;=0,0,+T198-S199)</f>
        <v>1.6939338820520788E-11</v>
      </c>
      <c r="U199" s="10">
        <f>IF(T198&lt;0.01,0,+U198+R199)</f>
        <v>0</v>
      </c>
      <c r="V199" s="10">
        <f>IF(T198&lt;0.01,0,+V198+S199)</f>
        <v>0</v>
      </c>
      <c r="Y199" s="7">
        <f>Y198+1</f>
        <v>103</v>
      </c>
      <c r="Z199" s="10">
        <f t="shared" ref="Z199:Z216" si="45">IF(AB198&lt;0.01,0,+AB198*$E$133)</f>
        <v>0</v>
      </c>
      <c r="AA199" s="10">
        <f t="shared" ref="AA199:AA216" si="46">IF(AB198&lt;0.01,0,+$E$134-Z199)</f>
        <v>0</v>
      </c>
      <c r="AB199" s="10">
        <f>IF(AB198&lt;=0,0,+AB198-AA199)</f>
        <v>2.5011104298755527E-11</v>
      </c>
      <c r="AC199" s="10">
        <f>IF(AB198&lt;0.01,0,+AC198+Z199)</f>
        <v>0</v>
      </c>
      <c r="AD199" s="10">
        <f>IF(AB198&lt;0.01,0,+AD198+AA199)</f>
        <v>0</v>
      </c>
    </row>
    <row r="200" spans="16:30">
      <c r="Q200" s="7">
        <f t="shared" ref="Q200:Q216" si="47">Q199+1</f>
        <v>104</v>
      </c>
      <c r="R200" s="10">
        <f t="shared" si="43"/>
        <v>0</v>
      </c>
      <c r="S200" s="10">
        <f t="shared" si="44"/>
        <v>0</v>
      </c>
      <c r="T200" s="10">
        <f t="shared" ref="T200:T216" si="48">IF(T199&lt;=0,0,+T199-S200)</f>
        <v>1.6939338820520788E-11</v>
      </c>
      <c r="U200" s="10">
        <f t="shared" ref="U200:U216" si="49">IF(T199&lt;0.01,0,+U199+R200)</f>
        <v>0</v>
      </c>
      <c r="V200" s="10">
        <f t="shared" ref="V200:V216" si="50">IF(T199&lt;0.01,0,+V199+S200)</f>
        <v>0</v>
      </c>
      <c r="Y200" s="7">
        <f t="shared" ref="Y200:Y216" si="51">Y199+1</f>
        <v>104</v>
      </c>
      <c r="Z200" s="10">
        <f t="shared" si="45"/>
        <v>0</v>
      </c>
      <c r="AA200" s="10">
        <f t="shared" si="46"/>
        <v>0</v>
      </c>
      <c r="AB200" s="10">
        <f t="shared" ref="AB200:AB216" si="52">IF(AB199&lt;=0,0,+AB199-AA200)</f>
        <v>2.5011104298755527E-11</v>
      </c>
      <c r="AC200" s="10">
        <f t="shared" ref="AC200:AC216" si="53">IF(AB199&lt;0.01,0,+AC199+Z200)</f>
        <v>0</v>
      </c>
      <c r="AD200" s="10">
        <f t="shared" ref="AD200:AD216" si="54">IF(AB199&lt;0.01,0,+AD199+AA200)</f>
        <v>0</v>
      </c>
    </row>
    <row r="201" spans="16:30">
      <c r="Q201" s="7">
        <f t="shared" si="47"/>
        <v>105</v>
      </c>
      <c r="R201" s="10">
        <f t="shared" si="43"/>
        <v>0</v>
      </c>
      <c r="S201" s="10">
        <f t="shared" si="44"/>
        <v>0</v>
      </c>
      <c r="T201" s="10">
        <f t="shared" si="48"/>
        <v>1.6939338820520788E-11</v>
      </c>
      <c r="U201" s="10">
        <f t="shared" si="49"/>
        <v>0</v>
      </c>
      <c r="V201" s="10">
        <f t="shared" si="50"/>
        <v>0</v>
      </c>
      <c r="Y201" s="7">
        <f t="shared" si="51"/>
        <v>105</v>
      </c>
      <c r="Z201" s="10">
        <f t="shared" si="45"/>
        <v>0</v>
      </c>
      <c r="AA201" s="10">
        <f t="shared" si="46"/>
        <v>0</v>
      </c>
      <c r="AB201" s="10">
        <f t="shared" si="52"/>
        <v>2.5011104298755527E-11</v>
      </c>
      <c r="AC201" s="10">
        <f t="shared" si="53"/>
        <v>0</v>
      </c>
      <c r="AD201" s="10">
        <f t="shared" si="54"/>
        <v>0</v>
      </c>
    </row>
    <row r="202" spans="16:30">
      <c r="Q202" s="7">
        <f t="shared" si="47"/>
        <v>106</v>
      </c>
      <c r="R202" s="10">
        <f t="shared" si="43"/>
        <v>0</v>
      </c>
      <c r="S202" s="10">
        <f t="shared" si="44"/>
        <v>0</v>
      </c>
      <c r="T202" s="10">
        <f t="shared" si="48"/>
        <v>1.6939338820520788E-11</v>
      </c>
      <c r="U202" s="10">
        <f t="shared" si="49"/>
        <v>0</v>
      </c>
      <c r="V202" s="10">
        <f t="shared" si="50"/>
        <v>0</v>
      </c>
      <c r="Y202" s="7">
        <f t="shared" si="51"/>
        <v>106</v>
      </c>
      <c r="Z202" s="10">
        <f t="shared" si="45"/>
        <v>0</v>
      </c>
      <c r="AA202" s="10">
        <f t="shared" si="46"/>
        <v>0</v>
      </c>
      <c r="AB202" s="10">
        <f t="shared" si="52"/>
        <v>2.5011104298755527E-11</v>
      </c>
      <c r="AC202" s="10">
        <f t="shared" si="53"/>
        <v>0</v>
      </c>
      <c r="AD202" s="10">
        <f t="shared" si="54"/>
        <v>0</v>
      </c>
    </row>
    <row r="203" spans="16:30">
      <c r="Q203" s="7">
        <f t="shared" si="47"/>
        <v>107</v>
      </c>
      <c r="R203" s="10">
        <f t="shared" si="43"/>
        <v>0</v>
      </c>
      <c r="S203" s="10">
        <f t="shared" si="44"/>
        <v>0</v>
      </c>
      <c r="T203" s="10">
        <f t="shared" si="48"/>
        <v>1.6939338820520788E-11</v>
      </c>
      <c r="U203" s="10">
        <f t="shared" si="49"/>
        <v>0</v>
      </c>
      <c r="V203" s="10">
        <f t="shared" si="50"/>
        <v>0</v>
      </c>
      <c r="Y203" s="7">
        <f t="shared" si="51"/>
        <v>107</v>
      </c>
      <c r="Z203" s="10">
        <f t="shared" si="45"/>
        <v>0</v>
      </c>
      <c r="AA203" s="10">
        <f t="shared" si="46"/>
        <v>0</v>
      </c>
      <c r="AB203" s="10">
        <f t="shared" si="52"/>
        <v>2.5011104298755527E-11</v>
      </c>
      <c r="AC203" s="10">
        <f t="shared" si="53"/>
        <v>0</v>
      </c>
      <c r="AD203" s="10">
        <f t="shared" si="54"/>
        <v>0</v>
      </c>
    </row>
    <row r="204" spans="16:30">
      <c r="Q204" s="7">
        <f t="shared" si="47"/>
        <v>108</v>
      </c>
      <c r="R204" s="10">
        <f t="shared" si="43"/>
        <v>0</v>
      </c>
      <c r="S204" s="10">
        <f t="shared" si="44"/>
        <v>0</v>
      </c>
      <c r="T204" s="10">
        <f t="shared" si="48"/>
        <v>1.6939338820520788E-11</v>
      </c>
      <c r="U204" s="10">
        <f t="shared" si="49"/>
        <v>0</v>
      </c>
      <c r="V204" s="10">
        <f t="shared" si="50"/>
        <v>0</v>
      </c>
      <c r="Y204" s="7">
        <f t="shared" si="51"/>
        <v>108</v>
      </c>
      <c r="Z204" s="10">
        <f t="shared" si="45"/>
        <v>0</v>
      </c>
      <c r="AA204" s="10">
        <f t="shared" si="46"/>
        <v>0</v>
      </c>
      <c r="AB204" s="10">
        <f t="shared" si="52"/>
        <v>2.5011104298755527E-11</v>
      </c>
      <c r="AC204" s="10">
        <f t="shared" si="53"/>
        <v>0</v>
      </c>
      <c r="AD204" s="10">
        <f t="shared" si="54"/>
        <v>0</v>
      </c>
    </row>
    <row r="205" spans="16:30">
      <c r="Q205" s="7">
        <f t="shared" si="47"/>
        <v>109</v>
      </c>
      <c r="R205" s="10">
        <f t="shared" si="43"/>
        <v>0</v>
      </c>
      <c r="S205" s="10">
        <f t="shared" si="44"/>
        <v>0</v>
      </c>
      <c r="T205" s="10">
        <f t="shared" si="48"/>
        <v>1.6939338820520788E-11</v>
      </c>
      <c r="U205" s="10">
        <f t="shared" si="49"/>
        <v>0</v>
      </c>
      <c r="V205" s="10">
        <f t="shared" si="50"/>
        <v>0</v>
      </c>
      <c r="Y205" s="7">
        <f t="shared" si="51"/>
        <v>109</v>
      </c>
      <c r="Z205" s="10">
        <f t="shared" si="45"/>
        <v>0</v>
      </c>
      <c r="AA205" s="10">
        <f t="shared" si="46"/>
        <v>0</v>
      </c>
      <c r="AB205" s="10">
        <f t="shared" si="52"/>
        <v>2.5011104298755527E-11</v>
      </c>
      <c r="AC205" s="10">
        <f t="shared" si="53"/>
        <v>0</v>
      </c>
      <c r="AD205" s="10">
        <f t="shared" si="54"/>
        <v>0</v>
      </c>
    </row>
    <row r="206" spans="16:30">
      <c r="Q206" s="7">
        <f t="shared" si="47"/>
        <v>110</v>
      </c>
      <c r="R206" s="10">
        <f t="shared" si="43"/>
        <v>0</v>
      </c>
      <c r="S206" s="10">
        <f t="shared" si="44"/>
        <v>0</v>
      </c>
      <c r="T206" s="10">
        <f t="shared" si="48"/>
        <v>1.6939338820520788E-11</v>
      </c>
      <c r="U206" s="10">
        <f t="shared" si="49"/>
        <v>0</v>
      </c>
      <c r="V206" s="10">
        <f t="shared" si="50"/>
        <v>0</v>
      </c>
      <c r="Y206" s="7">
        <f t="shared" si="51"/>
        <v>110</v>
      </c>
      <c r="Z206" s="10">
        <f t="shared" si="45"/>
        <v>0</v>
      </c>
      <c r="AA206" s="10">
        <f t="shared" si="46"/>
        <v>0</v>
      </c>
      <c r="AB206" s="10">
        <f t="shared" si="52"/>
        <v>2.5011104298755527E-11</v>
      </c>
      <c r="AC206" s="10">
        <f t="shared" si="53"/>
        <v>0</v>
      </c>
      <c r="AD206" s="10">
        <f t="shared" si="54"/>
        <v>0</v>
      </c>
    </row>
    <row r="207" spans="16:30">
      <c r="Q207" s="7">
        <f t="shared" si="47"/>
        <v>111</v>
      </c>
      <c r="R207" s="10">
        <f t="shared" si="43"/>
        <v>0</v>
      </c>
      <c r="S207" s="10">
        <f t="shared" si="44"/>
        <v>0</v>
      </c>
      <c r="T207" s="10">
        <f t="shared" si="48"/>
        <v>1.6939338820520788E-11</v>
      </c>
      <c r="U207" s="10">
        <f t="shared" si="49"/>
        <v>0</v>
      </c>
      <c r="V207" s="10">
        <f t="shared" si="50"/>
        <v>0</v>
      </c>
      <c r="Y207" s="7">
        <f t="shared" si="51"/>
        <v>111</v>
      </c>
      <c r="Z207" s="10">
        <f t="shared" si="45"/>
        <v>0</v>
      </c>
      <c r="AA207" s="10">
        <f t="shared" si="46"/>
        <v>0</v>
      </c>
      <c r="AB207" s="10">
        <f t="shared" si="52"/>
        <v>2.5011104298755527E-11</v>
      </c>
      <c r="AC207" s="10">
        <f t="shared" si="53"/>
        <v>0</v>
      </c>
      <c r="AD207" s="10">
        <f t="shared" si="54"/>
        <v>0</v>
      </c>
    </row>
    <row r="208" spans="16:30">
      <c r="Q208" s="7">
        <f t="shared" si="47"/>
        <v>112</v>
      </c>
      <c r="R208" s="10">
        <f t="shared" si="43"/>
        <v>0</v>
      </c>
      <c r="S208" s="10">
        <f t="shared" si="44"/>
        <v>0</v>
      </c>
      <c r="T208" s="10">
        <f t="shared" si="48"/>
        <v>1.6939338820520788E-11</v>
      </c>
      <c r="U208" s="10">
        <f t="shared" si="49"/>
        <v>0</v>
      </c>
      <c r="V208" s="10">
        <f t="shared" si="50"/>
        <v>0</v>
      </c>
      <c r="Y208" s="7">
        <f t="shared" si="51"/>
        <v>112</v>
      </c>
      <c r="Z208" s="10">
        <f t="shared" si="45"/>
        <v>0</v>
      </c>
      <c r="AA208" s="10">
        <f t="shared" si="46"/>
        <v>0</v>
      </c>
      <c r="AB208" s="10">
        <f t="shared" si="52"/>
        <v>2.5011104298755527E-11</v>
      </c>
      <c r="AC208" s="10">
        <f t="shared" si="53"/>
        <v>0</v>
      </c>
      <c r="AD208" s="10">
        <f t="shared" si="54"/>
        <v>0</v>
      </c>
    </row>
    <row r="209" spans="17:30">
      <c r="Q209" s="7">
        <f t="shared" si="47"/>
        <v>113</v>
      </c>
      <c r="R209" s="10">
        <f t="shared" si="43"/>
        <v>0</v>
      </c>
      <c r="S209" s="10">
        <f t="shared" si="44"/>
        <v>0</v>
      </c>
      <c r="T209" s="10">
        <f t="shared" si="48"/>
        <v>1.6939338820520788E-11</v>
      </c>
      <c r="U209" s="10">
        <f t="shared" si="49"/>
        <v>0</v>
      </c>
      <c r="V209" s="10">
        <f t="shared" si="50"/>
        <v>0</v>
      </c>
      <c r="Y209" s="7">
        <f t="shared" si="51"/>
        <v>113</v>
      </c>
      <c r="Z209" s="10">
        <f t="shared" si="45"/>
        <v>0</v>
      </c>
      <c r="AA209" s="10">
        <f t="shared" si="46"/>
        <v>0</v>
      </c>
      <c r="AB209" s="10">
        <f t="shared" si="52"/>
        <v>2.5011104298755527E-11</v>
      </c>
      <c r="AC209" s="10">
        <f t="shared" si="53"/>
        <v>0</v>
      </c>
      <c r="AD209" s="10">
        <f t="shared" si="54"/>
        <v>0</v>
      </c>
    </row>
    <row r="210" spans="17:30">
      <c r="Q210" s="7">
        <f t="shared" si="47"/>
        <v>114</v>
      </c>
      <c r="R210" s="10">
        <f t="shared" si="43"/>
        <v>0</v>
      </c>
      <c r="S210" s="10">
        <f t="shared" si="44"/>
        <v>0</v>
      </c>
      <c r="T210" s="10">
        <f t="shared" si="48"/>
        <v>1.6939338820520788E-11</v>
      </c>
      <c r="U210" s="10">
        <f t="shared" si="49"/>
        <v>0</v>
      </c>
      <c r="V210" s="10">
        <f t="shared" si="50"/>
        <v>0</v>
      </c>
      <c r="Y210" s="7">
        <f t="shared" si="51"/>
        <v>114</v>
      </c>
      <c r="Z210" s="10">
        <f t="shared" si="45"/>
        <v>0</v>
      </c>
      <c r="AA210" s="10">
        <f t="shared" si="46"/>
        <v>0</v>
      </c>
      <c r="AB210" s="10">
        <f t="shared" si="52"/>
        <v>2.5011104298755527E-11</v>
      </c>
      <c r="AC210" s="10">
        <f t="shared" si="53"/>
        <v>0</v>
      </c>
      <c r="AD210" s="10">
        <f t="shared" si="54"/>
        <v>0</v>
      </c>
    </row>
    <row r="211" spans="17:30">
      <c r="Q211" s="7">
        <f t="shared" si="47"/>
        <v>115</v>
      </c>
      <c r="R211" s="10">
        <f t="shared" si="43"/>
        <v>0</v>
      </c>
      <c r="S211" s="10">
        <f t="shared" si="44"/>
        <v>0</v>
      </c>
      <c r="T211" s="10">
        <f t="shared" si="48"/>
        <v>1.6939338820520788E-11</v>
      </c>
      <c r="U211" s="10">
        <f t="shared" si="49"/>
        <v>0</v>
      </c>
      <c r="V211" s="10">
        <f t="shared" si="50"/>
        <v>0</v>
      </c>
      <c r="Y211" s="7">
        <f t="shared" si="51"/>
        <v>115</v>
      </c>
      <c r="Z211" s="10">
        <f t="shared" si="45"/>
        <v>0</v>
      </c>
      <c r="AA211" s="10">
        <f t="shared" si="46"/>
        <v>0</v>
      </c>
      <c r="AB211" s="10">
        <f t="shared" si="52"/>
        <v>2.5011104298755527E-11</v>
      </c>
      <c r="AC211" s="10">
        <f t="shared" si="53"/>
        <v>0</v>
      </c>
      <c r="AD211" s="10">
        <f t="shared" si="54"/>
        <v>0</v>
      </c>
    </row>
    <row r="212" spans="17:30">
      <c r="Q212" s="7">
        <f t="shared" si="47"/>
        <v>116</v>
      </c>
      <c r="R212" s="10">
        <f t="shared" si="43"/>
        <v>0</v>
      </c>
      <c r="S212" s="10">
        <f t="shared" si="44"/>
        <v>0</v>
      </c>
      <c r="T212" s="10">
        <f t="shared" si="48"/>
        <v>1.6939338820520788E-11</v>
      </c>
      <c r="U212" s="10">
        <f t="shared" si="49"/>
        <v>0</v>
      </c>
      <c r="V212" s="10">
        <f t="shared" si="50"/>
        <v>0</v>
      </c>
      <c r="Y212" s="7">
        <f t="shared" si="51"/>
        <v>116</v>
      </c>
      <c r="Z212" s="10">
        <f t="shared" si="45"/>
        <v>0</v>
      </c>
      <c r="AA212" s="10">
        <f t="shared" si="46"/>
        <v>0</v>
      </c>
      <c r="AB212" s="10">
        <f t="shared" si="52"/>
        <v>2.5011104298755527E-11</v>
      </c>
      <c r="AC212" s="10">
        <f t="shared" si="53"/>
        <v>0</v>
      </c>
      <c r="AD212" s="10">
        <f t="shared" si="54"/>
        <v>0</v>
      </c>
    </row>
    <row r="213" spans="17:30">
      <c r="Q213" s="7">
        <f t="shared" si="47"/>
        <v>117</v>
      </c>
      <c r="R213" s="10">
        <f t="shared" si="43"/>
        <v>0</v>
      </c>
      <c r="S213" s="10">
        <f t="shared" si="44"/>
        <v>0</v>
      </c>
      <c r="T213" s="10">
        <f t="shared" si="48"/>
        <v>1.6939338820520788E-11</v>
      </c>
      <c r="U213" s="10">
        <f t="shared" si="49"/>
        <v>0</v>
      </c>
      <c r="V213" s="10">
        <f t="shared" si="50"/>
        <v>0</v>
      </c>
      <c r="Y213" s="7">
        <f t="shared" si="51"/>
        <v>117</v>
      </c>
      <c r="Z213" s="10">
        <f t="shared" si="45"/>
        <v>0</v>
      </c>
      <c r="AA213" s="10">
        <f t="shared" si="46"/>
        <v>0</v>
      </c>
      <c r="AB213" s="10">
        <f t="shared" si="52"/>
        <v>2.5011104298755527E-11</v>
      </c>
      <c r="AC213" s="10">
        <f t="shared" si="53"/>
        <v>0</v>
      </c>
      <c r="AD213" s="10">
        <f t="shared" si="54"/>
        <v>0</v>
      </c>
    </row>
    <row r="214" spans="17:30">
      <c r="Q214" s="7">
        <f t="shared" si="47"/>
        <v>118</v>
      </c>
      <c r="R214" s="10">
        <f t="shared" si="43"/>
        <v>0</v>
      </c>
      <c r="S214" s="10">
        <f t="shared" si="44"/>
        <v>0</v>
      </c>
      <c r="T214" s="10">
        <f t="shared" si="48"/>
        <v>1.6939338820520788E-11</v>
      </c>
      <c r="U214" s="10">
        <f t="shared" si="49"/>
        <v>0</v>
      </c>
      <c r="V214" s="10">
        <f t="shared" si="50"/>
        <v>0</v>
      </c>
      <c r="Y214" s="7">
        <f t="shared" si="51"/>
        <v>118</v>
      </c>
      <c r="Z214" s="10">
        <f t="shared" si="45"/>
        <v>0</v>
      </c>
      <c r="AA214" s="10">
        <f t="shared" si="46"/>
        <v>0</v>
      </c>
      <c r="AB214" s="10">
        <f t="shared" si="52"/>
        <v>2.5011104298755527E-11</v>
      </c>
      <c r="AC214" s="10">
        <f t="shared" si="53"/>
        <v>0</v>
      </c>
      <c r="AD214" s="10">
        <f t="shared" si="54"/>
        <v>0</v>
      </c>
    </row>
    <row r="215" spans="17:30">
      <c r="Q215" s="7">
        <f t="shared" si="47"/>
        <v>119</v>
      </c>
      <c r="R215" s="10">
        <f t="shared" si="43"/>
        <v>0</v>
      </c>
      <c r="S215" s="10">
        <f t="shared" si="44"/>
        <v>0</v>
      </c>
      <c r="T215" s="10">
        <f t="shared" si="48"/>
        <v>1.6939338820520788E-11</v>
      </c>
      <c r="U215" s="10">
        <f t="shared" si="49"/>
        <v>0</v>
      </c>
      <c r="V215" s="10">
        <f t="shared" si="50"/>
        <v>0</v>
      </c>
      <c r="Y215" s="7">
        <f t="shared" si="51"/>
        <v>119</v>
      </c>
      <c r="Z215" s="10">
        <f t="shared" si="45"/>
        <v>0</v>
      </c>
      <c r="AA215" s="10">
        <f t="shared" si="46"/>
        <v>0</v>
      </c>
      <c r="AB215" s="10">
        <f t="shared" si="52"/>
        <v>2.5011104298755527E-11</v>
      </c>
      <c r="AC215" s="10">
        <f t="shared" si="53"/>
        <v>0</v>
      </c>
      <c r="AD215" s="10">
        <f t="shared" si="54"/>
        <v>0</v>
      </c>
    </row>
    <row r="216" spans="17:30">
      <c r="Q216" s="7">
        <f t="shared" si="47"/>
        <v>120</v>
      </c>
      <c r="R216" s="10">
        <f t="shared" si="43"/>
        <v>0</v>
      </c>
      <c r="S216" s="10">
        <f t="shared" si="44"/>
        <v>0</v>
      </c>
      <c r="T216" s="10">
        <f t="shared" si="48"/>
        <v>1.6939338820520788E-11</v>
      </c>
      <c r="U216" s="10">
        <f t="shared" si="49"/>
        <v>0</v>
      </c>
      <c r="V216" s="10">
        <f t="shared" si="50"/>
        <v>0</v>
      </c>
      <c r="Y216" s="7">
        <f t="shared" si="51"/>
        <v>120</v>
      </c>
      <c r="Z216" s="10">
        <f t="shared" si="45"/>
        <v>0</v>
      </c>
      <c r="AA216" s="10">
        <f t="shared" si="46"/>
        <v>0</v>
      </c>
      <c r="AB216" s="10">
        <f t="shared" si="52"/>
        <v>2.5011104298755527E-11</v>
      </c>
      <c r="AC216" s="10">
        <f t="shared" si="53"/>
        <v>0</v>
      </c>
      <c r="AD216" s="10">
        <f t="shared" si="54"/>
        <v>0</v>
      </c>
    </row>
    <row r="221" spans="17:30">
      <c r="R221" s="10"/>
      <c r="S221" s="10"/>
      <c r="T221" s="10"/>
      <c r="U221" s="10"/>
      <c r="V221" s="10"/>
    </row>
    <row r="222" spans="17:30">
      <c r="R222" s="10"/>
      <c r="S222" s="10"/>
      <c r="T222" s="10"/>
      <c r="U222" s="10"/>
      <c r="V222" s="10"/>
    </row>
    <row r="223" spans="17:30">
      <c r="R223" s="10"/>
      <c r="S223" s="10"/>
      <c r="T223" s="10"/>
      <c r="U223" s="10"/>
      <c r="V223" s="10"/>
    </row>
    <row r="224" spans="17:30">
      <c r="R224" s="10"/>
      <c r="S224" s="10"/>
      <c r="T224" s="10"/>
      <c r="U224" s="10"/>
      <c r="V224" s="10"/>
    </row>
    <row r="225" spans="18:22">
      <c r="R225" s="10"/>
      <c r="S225" s="10"/>
      <c r="T225" s="10"/>
      <c r="U225" s="10"/>
      <c r="V225" s="10"/>
    </row>
    <row r="226" spans="18:22">
      <c r="R226" s="10"/>
      <c r="S226" s="10"/>
      <c r="T226" s="10"/>
      <c r="U226" s="10"/>
      <c r="V226" s="10"/>
    </row>
    <row r="227" spans="18:22">
      <c r="R227" s="10"/>
      <c r="S227" s="10"/>
      <c r="T227" s="10"/>
      <c r="U227" s="10"/>
      <c r="V227" s="10"/>
    </row>
    <row r="228" spans="18:22">
      <c r="R228" s="10"/>
      <c r="S228" s="10"/>
      <c r="T228" s="10"/>
      <c r="U228" s="10"/>
      <c r="V228" s="10"/>
    </row>
    <row r="230" spans="18:22">
      <c r="R230" s="10"/>
      <c r="S230" s="10"/>
      <c r="T230" s="10"/>
      <c r="U230" s="10"/>
      <c r="V230" s="10"/>
    </row>
    <row r="231" spans="18:22">
      <c r="R231" s="10"/>
      <c r="S231" s="10"/>
      <c r="T231" s="10"/>
      <c r="U231" s="10"/>
      <c r="V231" s="10"/>
    </row>
    <row r="232" spans="18:22">
      <c r="R232" s="10"/>
      <c r="S232" s="10"/>
      <c r="T232" s="10"/>
      <c r="U232" s="10"/>
      <c r="V232" s="10"/>
    </row>
    <row r="233" spans="18:22">
      <c r="R233" s="10"/>
      <c r="S233" s="10"/>
      <c r="T233" s="10"/>
      <c r="U233" s="10"/>
      <c r="V233" s="10"/>
    </row>
    <row r="234" spans="18:22">
      <c r="R234" s="10"/>
      <c r="S234" s="10"/>
      <c r="T234" s="10"/>
      <c r="U234" s="10"/>
      <c r="V234" s="10"/>
    </row>
    <row r="235" spans="18:22">
      <c r="R235" s="10"/>
      <c r="S235" s="10"/>
      <c r="T235" s="10"/>
      <c r="U235" s="10"/>
      <c r="V235" s="10"/>
    </row>
    <row r="236" spans="18:22">
      <c r="R236" s="10"/>
      <c r="S236" s="10"/>
      <c r="T236" s="10"/>
      <c r="U236" s="10"/>
      <c r="V236" s="10"/>
    </row>
    <row r="237" spans="18:22">
      <c r="R237" s="10"/>
      <c r="S237" s="10"/>
      <c r="T237" s="10"/>
      <c r="U237" s="10"/>
      <c r="V237" s="10"/>
    </row>
    <row r="238" spans="18:22">
      <c r="R238" s="10"/>
      <c r="S238" s="10"/>
      <c r="T238" s="10"/>
      <c r="U238" s="10"/>
      <c r="V238" s="10"/>
    </row>
    <row r="239" spans="18:22">
      <c r="R239" s="10"/>
      <c r="S239" s="10"/>
      <c r="T239" s="10"/>
      <c r="U239" s="10"/>
      <c r="V239" s="10"/>
    </row>
    <row r="240" spans="18:22">
      <c r="R240" s="10"/>
      <c r="S240" s="10"/>
      <c r="T240" s="10"/>
      <c r="U240" s="10"/>
      <c r="V240" s="10"/>
    </row>
    <row r="241" spans="18:22">
      <c r="R241" s="10"/>
      <c r="S241" s="10"/>
      <c r="T241" s="10"/>
      <c r="U241" s="10"/>
      <c r="V241" s="10"/>
    </row>
    <row r="242" spans="18:22">
      <c r="R242" s="10"/>
      <c r="S242" s="10"/>
      <c r="T242" s="10"/>
      <c r="U242" s="10"/>
      <c r="V242" s="10"/>
    </row>
    <row r="243" spans="18:22">
      <c r="R243" s="10"/>
      <c r="S243" s="10"/>
      <c r="T243" s="10"/>
      <c r="U243" s="10"/>
      <c r="V243" s="10"/>
    </row>
    <row r="244" spans="18:22">
      <c r="R244" s="10"/>
      <c r="S244" s="10"/>
      <c r="T244" s="10"/>
      <c r="U244" s="10"/>
      <c r="V244" s="10"/>
    </row>
    <row r="245" spans="18:22">
      <c r="R245" s="10"/>
      <c r="S245" s="10"/>
      <c r="T245" s="10"/>
      <c r="U245" s="10"/>
      <c r="V245" s="10"/>
    </row>
    <row r="246" spans="18:22">
      <c r="R246" s="10"/>
      <c r="S246" s="10"/>
      <c r="T246" s="10"/>
      <c r="U246" s="10"/>
      <c r="V246" s="10"/>
    </row>
    <row r="247" spans="18:22">
      <c r="R247" s="10"/>
      <c r="S247" s="10"/>
      <c r="T247" s="10"/>
      <c r="U247" s="10"/>
      <c r="V247" s="10"/>
    </row>
    <row r="248" spans="18:22">
      <c r="R248" s="10"/>
      <c r="S248" s="10"/>
      <c r="T248" s="10"/>
      <c r="U248" s="10"/>
      <c r="V248" s="10"/>
    </row>
    <row r="249" spans="18:22">
      <c r="R249" s="10"/>
      <c r="S249" s="10"/>
      <c r="T249" s="10"/>
      <c r="U249" s="10"/>
      <c r="V249" s="10"/>
    </row>
    <row r="250" spans="18:22">
      <c r="R250" s="10"/>
      <c r="S250" s="10"/>
      <c r="T250" s="10"/>
      <c r="U250" s="10"/>
      <c r="V250" s="10"/>
    </row>
    <row r="251" spans="18:22">
      <c r="R251" s="10"/>
      <c r="S251" s="10"/>
      <c r="T251" s="10"/>
      <c r="U251" s="10"/>
      <c r="V251" s="10"/>
    </row>
    <row r="252" spans="18:22">
      <c r="R252" s="10"/>
      <c r="S252" s="10"/>
      <c r="T252" s="10"/>
      <c r="U252" s="10"/>
      <c r="V252" s="10"/>
    </row>
    <row r="253" spans="18:22">
      <c r="R253" s="10"/>
      <c r="S253" s="10"/>
      <c r="T253" s="10"/>
      <c r="U253" s="10"/>
      <c r="V253" s="10"/>
    </row>
    <row r="254" spans="18:22">
      <c r="R254" s="10"/>
      <c r="S254" s="10"/>
      <c r="T254" s="10"/>
      <c r="U254" s="10"/>
      <c r="V254" s="10"/>
    </row>
    <row r="255" spans="18:22">
      <c r="R255" s="10"/>
      <c r="S255" s="10"/>
      <c r="T255" s="10"/>
      <c r="U255" s="10"/>
      <c r="V255" s="10"/>
    </row>
    <row r="256" spans="18:22">
      <c r="R256" s="10"/>
      <c r="S256" s="10"/>
      <c r="T256" s="10"/>
      <c r="U256" s="10"/>
      <c r="V256" s="10"/>
    </row>
    <row r="257" spans="18:22">
      <c r="R257" s="10"/>
      <c r="S257" s="10"/>
      <c r="T257" s="10"/>
      <c r="U257" s="10"/>
      <c r="V257" s="10"/>
    </row>
    <row r="258" spans="18:22">
      <c r="R258" s="10"/>
      <c r="S258" s="10"/>
      <c r="T258" s="10"/>
      <c r="U258" s="10"/>
      <c r="V258" s="10"/>
    </row>
    <row r="259" spans="18:22">
      <c r="R259" s="10"/>
      <c r="S259" s="10"/>
      <c r="T259" s="10"/>
      <c r="U259" s="10"/>
      <c r="V259" s="10"/>
    </row>
    <row r="260" spans="18:22">
      <c r="R260" s="10"/>
      <c r="S260" s="10"/>
      <c r="T260" s="10"/>
      <c r="U260" s="10"/>
      <c r="V260" s="10"/>
    </row>
    <row r="261" spans="18:22">
      <c r="R261" s="10"/>
      <c r="S261" s="10"/>
      <c r="T261" s="10"/>
      <c r="U261" s="10"/>
      <c r="V261" s="10"/>
    </row>
    <row r="262" spans="18:22">
      <c r="R262" s="10"/>
      <c r="S262" s="10"/>
      <c r="T262" s="10"/>
      <c r="U262" s="10"/>
      <c r="V262" s="10"/>
    </row>
    <row r="263" spans="18:22">
      <c r="R263" s="10"/>
      <c r="S263" s="10"/>
      <c r="T263" s="10"/>
      <c r="U263" s="10"/>
      <c r="V263" s="10"/>
    </row>
    <row r="264" spans="18:22">
      <c r="R264" s="10"/>
      <c r="S264" s="10"/>
      <c r="T264" s="10"/>
      <c r="U264" s="10"/>
      <c r="V264" s="10"/>
    </row>
    <row r="265" spans="18:22">
      <c r="R265" s="10"/>
      <c r="S265" s="10"/>
      <c r="T265" s="10"/>
      <c r="U265" s="10"/>
      <c r="V265" s="10"/>
    </row>
    <row r="266" spans="18:22">
      <c r="R266" s="10"/>
      <c r="S266" s="10"/>
      <c r="T266" s="10"/>
      <c r="U266" s="10"/>
      <c r="V266" s="10"/>
    </row>
    <row r="299" spans="1:1">
      <c r="A299" s="1" t="s">
        <v>30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26" sqref="A26"/>
    </sheetView>
  </sheetViews>
  <sheetFormatPr defaultColWidth="9.625" defaultRowHeight="12"/>
  <cols>
    <col min="1" max="1" width="27.625" customWidth="1"/>
  </cols>
  <sheetData>
    <row r="1" spans="1:8">
      <c r="A1" s="1" t="s">
        <v>192</v>
      </c>
    </row>
    <row r="3" spans="1:8">
      <c r="A3" s="1" t="s">
        <v>193</v>
      </c>
      <c r="C3" s="6" t="s">
        <v>193</v>
      </c>
    </row>
    <row r="4" spans="1:8">
      <c r="A4" s="6" t="s">
        <v>194</v>
      </c>
      <c r="B4" s="23" t="s">
        <v>195</v>
      </c>
      <c r="C4" s="6" t="s">
        <v>196</v>
      </c>
      <c r="D4" s="6" t="s">
        <v>197</v>
      </c>
      <c r="E4" s="23" t="s">
        <v>198</v>
      </c>
      <c r="F4" s="6" t="s">
        <v>199</v>
      </c>
      <c r="G4" s="6" t="s">
        <v>200</v>
      </c>
      <c r="H4" s="6" t="s">
        <v>201</v>
      </c>
    </row>
    <row r="5" spans="1:8">
      <c r="A5" s="1" t="s">
        <v>193</v>
      </c>
      <c r="C5" s="6" t="s">
        <v>193</v>
      </c>
    </row>
    <row r="6" spans="1:8">
      <c r="A6" s="1" t="s">
        <v>202</v>
      </c>
      <c r="B6" s="28">
        <v>0.1</v>
      </c>
      <c r="C6" s="4">
        <f>((1+$B$6)^(1/2)-1)</f>
        <v>4.8808848170151631E-2</v>
      </c>
      <c r="D6" s="4">
        <f>((1+$B$6)^(1/4)-1)</f>
        <v>2.4113689084445111E-2</v>
      </c>
      <c r="E6" s="4">
        <f>((1+$B$6)^(1/12)-1)</f>
        <v>7.9741404289037643E-3</v>
      </c>
      <c r="F6" s="4">
        <f>((1+$B$6)^(1/26)-1)</f>
        <v>3.6725033212918756E-3</v>
      </c>
      <c r="G6" s="4">
        <f>((1+$B$6)^(1/52)-1)</f>
        <v>1.8345688392329418E-3</v>
      </c>
      <c r="H6" s="4">
        <f>((1+$B$6)^(1/365)-1)</f>
        <v>2.6115787606784124E-4</v>
      </c>
    </row>
    <row r="7" spans="1:8">
      <c r="A7" s="1" t="s">
        <v>203</v>
      </c>
      <c r="B7" s="29">
        <v>10</v>
      </c>
      <c r="C7" s="8">
        <f>B7*2</f>
        <v>20</v>
      </c>
      <c r="D7" s="8">
        <f>B7*4</f>
        <v>40</v>
      </c>
      <c r="E7" s="8">
        <f>B7*12</f>
        <v>120</v>
      </c>
      <c r="F7" s="8">
        <f>B7*26</f>
        <v>260</v>
      </c>
      <c r="G7" s="8">
        <f>B7*52</f>
        <v>520</v>
      </c>
      <c r="H7" s="8">
        <f>B7*365</f>
        <v>3650</v>
      </c>
    </row>
    <row r="8" spans="1:8">
      <c r="A8" s="1" t="s">
        <v>204</v>
      </c>
      <c r="B8" s="29">
        <v>100000</v>
      </c>
      <c r="C8" s="8">
        <f t="shared" ref="C8:H9" si="0">$B8</f>
        <v>100000</v>
      </c>
      <c r="D8" s="8">
        <f t="shared" si="0"/>
        <v>100000</v>
      </c>
      <c r="E8" s="8">
        <f t="shared" si="0"/>
        <v>100000</v>
      </c>
      <c r="F8" s="8">
        <f t="shared" si="0"/>
        <v>100000</v>
      </c>
      <c r="G8" s="8">
        <f t="shared" si="0"/>
        <v>100000</v>
      </c>
      <c r="H8" s="8">
        <f t="shared" si="0"/>
        <v>100000</v>
      </c>
    </row>
    <row r="9" spans="1:8">
      <c r="A9" s="1" t="s">
        <v>205</v>
      </c>
      <c r="B9" s="29">
        <v>0</v>
      </c>
      <c r="C9" s="8">
        <f t="shared" si="0"/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</row>
    <row r="10" spans="1:8">
      <c r="A10" s="1" t="s">
        <v>193</v>
      </c>
      <c r="C10" s="6" t="s">
        <v>193</v>
      </c>
    </row>
    <row r="11" spans="1:8">
      <c r="A11" s="1" t="s">
        <v>206</v>
      </c>
      <c r="B11" s="8">
        <f t="shared" ref="B11:H11" si="1">(B8-B9)*(B6*(1+B6)^B7)/((1+B6)^(B7)-1)+(B9*B6)</f>
        <v>16274.539488251155</v>
      </c>
      <c r="C11" s="8">
        <f t="shared" si="1"/>
        <v>7943.4152692118769</v>
      </c>
      <c r="D11" s="8">
        <f t="shared" si="1"/>
        <v>3924.3918521221362</v>
      </c>
      <c r="E11" s="8">
        <f t="shared" si="1"/>
        <v>1297.7546329505406</v>
      </c>
      <c r="F11" s="8">
        <f t="shared" si="1"/>
        <v>597.68300323096992</v>
      </c>
      <c r="G11" s="8">
        <f t="shared" si="1"/>
        <v>298.5676301801102</v>
      </c>
      <c r="H11" s="8">
        <f t="shared" si="1"/>
        <v>42.502241667337195</v>
      </c>
    </row>
    <row r="12" spans="1:8">
      <c r="A12" s="1" t="s">
        <v>193</v>
      </c>
      <c r="C12" s="6" t="s">
        <v>193</v>
      </c>
    </row>
    <row r="13" spans="1:8">
      <c r="A13" s="1" t="s">
        <v>207</v>
      </c>
      <c r="B13" s="8">
        <f>B11</f>
        <v>16274.539488251155</v>
      </c>
      <c r="C13" s="8">
        <f>2*C11</f>
        <v>15886.830538423754</v>
      </c>
      <c r="D13" s="8">
        <f>4*D11</f>
        <v>15697.567408488545</v>
      </c>
      <c r="E13" s="8">
        <f>12*E11</f>
        <v>15573.055595406488</v>
      </c>
      <c r="F13" s="8">
        <f>26*F11</f>
        <v>15539.758084005218</v>
      </c>
      <c r="G13" s="8">
        <f>52*G11</f>
        <v>15525.516769365731</v>
      </c>
      <c r="H13" s="8">
        <f>365*H11</f>
        <v>15513.318208578075</v>
      </c>
    </row>
    <row r="14" spans="1:8">
      <c r="A14" s="1" t="s">
        <v>208</v>
      </c>
      <c r="B14" s="8">
        <f t="shared" ref="B14:H14" si="2">B7*B11</f>
        <v>162745.39488251155</v>
      </c>
      <c r="C14" s="8">
        <f t="shared" si="2"/>
        <v>158868.30538423755</v>
      </c>
      <c r="D14" s="8">
        <f t="shared" si="2"/>
        <v>156975.67408488545</v>
      </c>
      <c r="E14" s="8">
        <f t="shared" si="2"/>
        <v>155730.55595406485</v>
      </c>
      <c r="F14" s="8">
        <f t="shared" si="2"/>
        <v>155397.58084005216</v>
      </c>
      <c r="G14" s="8">
        <f t="shared" si="2"/>
        <v>155255.16769365731</v>
      </c>
      <c r="H14" s="8">
        <f t="shared" si="2"/>
        <v>155133.18208578078</v>
      </c>
    </row>
    <row r="15" spans="1:8">
      <c r="A15" s="1" t="s">
        <v>209</v>
      </c>
      <c r="B15" s="8">
        <f t="shared" ref="B15:H15" si="3">B14-(B8-B9)</f>
        <v>62745.394882511551</v>
      </c>
      <c r="C15" s="8">
        <f t="shared" si="3"/>
        <v>58868.305384237552</v>
      </c>
      <c r="D15" s="8">
        <f t="shared" si="3"/>
        <v>56975.674084885453</v>
      </c>
      <c r="E15" s="8">
        <f t="shared" si="3"/>
        <v>55730.555954064854</v>
      </c>
      <c r="F15" s="8">
        <f t="shared" si="3"/>
        <v>55397.580840052164</v>
      </c>
      <c r="G15" s="8">
        <f t="shared" si="3"/>
        <v>55255.167693657306</v>
      </c>
      <c r="H15" s="8">
        <f t="shared" si="3"/>
        <v>55133.182085780776</v>
      </c>
    </row>
    <row r="16" spans="1:8">
      <c r="A16" s="1" t="s">
        <v>193</v>
      </c>
      <c r="C16" s="6" t="s">
        <v>193</v>
      </c>
    </row>
    <row r="17" spans="1:8">
      <c r="A17" s="1" t="s">
        <v>210</v>
      </c>
      <c r="B17" s="4">
        <f>B6</f>
        <v>0.1</v>
      </c>
      <c r="C17" s="4">
        <f t="shared" ref="C17:H17" si="4">$B17</f>
        <v>0.1</v>
      </c>
      <c r="D17" s="4">
        <f t="shared" si="4"/>
        <v>0.1</v>
      </c>
      <c r="E17" s="4">
        <f t="shared" si="4"/>
        <v>0.1</v>
      </c>
      <c r="F17" s="4">
        <f t="shared" si="4"/>
        <v>0.1</v>
      </c>
      <c r="G17" s="4">
        <f t="shared" si="4"/>
        <v>0.1</v>
      </c>
      <c r="H17" s="4">
        <f t="shared" si="4"/>
        <v>0.1</v>
      </c>
    </row>
    <row r="18" spans="1:8">
      <c r="A18" s="1" t="s">
        <v>211</v>
      </c>
      <c r="B18" s="4">
        <f>B6</f>
        <v>0.1</v>
      </c>
      <c r="C18" s="4">
        <f>C6*2</f>
        <v>9.7617696340303262E-2</v>
      </c>
      <c r="D18" s="4">
        <f>D6*4</f>
        <v>9.6454756337780445E-2</v>
      </c>
      <c r="E18" s="4">
        <f>E6*12</f>
        <v>9.5689685146845171E-2</v>
      </c>
      <c r="F18" s="4">
        <f>F6*26</f>
        <v>9.5485086353588766E-2</v>
      </c>
      <c r="G18" s="4">
        <f>G6*52</f>
        <v>9.5397579640112973E-2</v>
      </c>
      <c r="H18" s="4">
        <f>H6*365</f>
        <v>9.5322624764762054E-2</v>
      </c>
    </row>
    <row r="19" spans="1:8">
      <c r="A19" s="1" t="s">
        <v>212</v>
      </c>
      <c r="B19" s="4">
        <f>B6/(1+B6)</f>
        <v>9.0909090909090912E-2</v>
      </c>
      <c r="C19" s="4">
        <f>2*C6/(1+C6)</f>
        <v>9.307482150881552E-2</v>
      </c>
      <c r="D19" s="4">
        <f>4*D6/(1+D6)</f>
        <v>9.4183641294757744E-2</v>
      </c>
      <c r="E19" s="4">
        <f>12*E6/(1+E6)</f>
        <v>9.4932678636108853E-2</v>
      </c>
      <c r="F19" s="4">
        <f>26*F6/(1+F6)</f>
        <v>9.5135700178709023E-2</v>
      </c>
      <c r="G19" s="4">
        <f>52*G6/(1+G6)</f>
        <v>9.5222886699392453E-2</v>
      </c>
      <c r="H19" s="4">
        <f>365*H6/(1+H6)</f>
        <v>9.52977370101704E-2</v>
      </c>
    </row>
    <row r="20" spans="1:8">
      <c r="A20" s="1" t="s">
        <v>193</v>
      </c>
      <c r="C20" s="6" t="s">
        <v>193</v>
      </c>
    </row>
    <row r="21" spans="1:8">
      <c r="A21" s="1" t="s">
        <v>213</v>
      </c>
    </row>
    <row r="22" spans="1:8">
      <c r="A22" s="1" t="s">
        <v>214</v>
      </c>
    </row>
    <row r="23" spans="1:8">
      <c r="A23" s="1" t="s">
        <v>215</v>
      </c>
    </row>
    <row r="24" spans="1:8">
      <c r="A24" s="1" t="s">
        <v>216</v>
      </c>
    </row>
    <row r="25" spans="1:8">
      <c r="A25" s="1" t="s">
        <v>217</v>
      </c>
    </row>
    <row r="26" spans="1:8">
      <c r="A26" s="1" t="s">
        <v>218</v>
      </c>
    </row>
    <row r="27" spans="1:8">
      <c r="A27" s="1" t="s">
        <v>219</v>
      </c>
    </row>
    <row r="29" spans="1:8">
      <c r="A29" s="6" t="s">
        <v>220</v>
      </c>
    </row>
    <row r="30" spans="1:8">
      <c r="A30" s="6" t="s">
        <v>221</v>
      </c>
    </row>
    <row r="32" spans="1:8">
      <c r="A32" s="6" t="s">
        <v>222</v>
      </c>
    </row>
    <row r="34" spans="2:5">
      <c r="B34" s="6" t="s">
        <v>223</v>
      </c>
      <c r="D34" s="30">
        <v>14.75</v>
      </c>
      <c r="E34" s="6" t="s">
        <v>169</v>
      </c>
    </row>
    <row r="35" spans="2:5">
      <c r="B35" s="6" t="s">
        <v>224</v>
      </c>
      <c r="D35" s="31">
        <v>91</v>
      </c>
    </row>
    <row r="36" spans="2:5">
      <c r="B36" s="6" t="s">
        <v>225</v>
      </c>
      <c r="D36" s="12">
        <v>500000</v>
      </c>
    </row>
    <row r="38" spans="2:5">
      <c r="B38" s="6" t="s">
        <v>226</v>
      </c>
      <c r="D38" s="12">
        <f>(D36*36500)/(D34*D35+36500)</f>
        <v>482265.19300517277</v>
      </c>
    </row>
    <row r="39" spans="2:5">
      <c r="D39" s="12"/>
    </row>
    <row r="40" spans="2:5">
      <c r="B40" s="6" t="s">
        <v>227</v>
      </c>
      <c r="D40" s="12">
        <f>D36-D38</f>
        <v>17734.806994827231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9"/>
  <sheetViews>
    <sheetView workbookViewId="0">
      <selection activeCell="D18" sqref="D18"/>
    </sheetView>
  </sheetViews>
  <sheetFormatPr defaultColWidth="9.625" defaultRowHeight="12"/>
  <cols>
    <col min="2" max="2" width="12.625" customWidth="1"/>
    <col min="4" max="4" width="16.625" customWidth="1"/>
  </cols>
  <sheetData>
    <row r="1" spans="2:6">
      <c r="C1" s="1" t="s">
        <v>259</v>
      </c>
    </row>
    <row r="3" spans="2:6">
      <c r="B3" s="1" t="s">
        <v>260</v>
      </c>
      <c r="D3" s="12">
        <v>4000000</v>
      </c>
      <c r="E3" s="1" t="s">
        <v>261</v>
      </c>
      <c r="F3" s="1" t="s">
        <v>262</v>
      </c>
    </row>
    <row r="4" spans="2:6">
      <c r="B4" s="1" t="s">
        <v>263</v>
      </c>
      <c r="D4" s="3">
        <v>10</v>
      </c>
      <c r="E4" s="1" t="s">
        <v>261</v>
      </c>
      <c r="F4" s="1" t="s">
        <v>262</v>
      </c>
    </row>
    <row r="5" spans="2:6">
      <c r="B5" s="1" t="s">
        <v>264</v>
      </c>
      <c r="D5" s="3">
        <v>30</v>
      </c>
      <c r="E5" s="1" t="s">
        <v>261</v>
      </c>
      <c r="F5" s="1" t="s">
        <v>262</v>
      </c>
    </row>
    <row r="6" spans="2:6">
      <c r="B6" s="1" t="s">
        <v>265</v>
      </c>
      <c r="D6" s="31">
        <v>12</v>
      </c>
      <c r="E6" s="1" t="s">
        <v>261</v>
      </c>
      <c r="F6" s="1" t="s">
        <v>262</v>
      </c>
    </row>
    <row r="8" spans="2:6">
      <c r="B8" s="1" t="s">
        <v>266</v>
      </c>
      <c r="D8" s="4">
        <f>D4/D6/100</f>
        <v>8.3333333333333332E-3</v>
      </c>
    </row>
    <row r="9" spans="2:6">
      <c r="B9" s="1" t="s">
        <v>267</v>
      </c>
      <c r="D9" s="7">
        <f>D5*D6</f>
        <v>360</v>
      </c>
    </row>
    <row r="11" spans="2:6">
      <c r="B11" s="1" t="s">
        <v>268</v>
      </c>
      <c r="C11" s="1" t="s">
        <v>268</v>
      </c>
      <c r="D11" s="1" t="s">
        <v>269</v>
      </c>
    </row>
    <row r="12" spans="2:6">
      <c r="B12" s="1" t="s">
        <v>270</v>
      </c>
      <c r="D12" s="33">
        <f>PMT(D8,D9,-D3)</f>
        <v>35102.86280355198</v>
      </c>
    </row>
    <row r="14" spans="2:6">
      <c r="B14" s="1" t="s">
        <v>271</v>
      </c>
      <c r="D14" s="33">
        <f>D12*D6</f>
        <v>421234.35364262376</v>
      </c>
    </row>
    <row r="16" spans="2:6">
      <c r="B16" s="1" t="s">
        <v>272</v>
      </c>
      <c r="D16" s="33">
        <f>D12*D9</f>
        <v>12637030.609278712</v>
      </c>
    </row>
    <row r="17" spans="2:4">
      <c r="D17" s="33"/>
    </row>
    <row r="18" spans="2:4">
      <c r="B18" s="1" t="s">
        <v>273</v>
      </c>
      <c r="D18" s="33">
        <f>D16-D3</f>
        <v>8637030.6092787124</v>
      </c>
    </row>
    <row r="19" spans="2:4">
      <c r="B19" s="1" t="s">
        <v>268</v>
      </c>
      <c r="C19" s="1" t="s">
        <v>268</v>
      </c>
      <c r="D19" s="1" t="s">
        <v>269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82"/>
  <sheetViews>
    <sheetView workbookViewId="0">
      <selection activeCell="D1" sqref="D1"/>
    </sheetView>
  </sheetViews>
  <sheetFormatPr defaultColWidth="9.625" defaultRowHeight="12"/>
  <cols>
    <col min="1" max="1" width="10.625" customWidth="1"/>
    <col min="2" max="6" width="12.625" customWidth="1"/>
    <col min="7" max="7" width="2.625" customWidth="1"/>
    <col min="9" max="9" width="12.625" customWidth="1"/>
  </cols>
  <sheetData>
    <row r="1" spans="1:9">
      <c r="A1" s="1" t="s">
        <v>228</v>
      </c>
      <c r="E1" s="7"/>
    </row>
    <row r="3" spans="1:9">
      <c r="A3" s="1" t="s">
        <v>229</v>
      </c>
    </row>
    <row r="5" spans="1:9">
      <c r="B5" s="1" t="s">
        <v>230</v>
      </c>
      <c r="C5" s="6" t="s">
        <v>231</v>
      </c>
      <c r="E5" s="5" t="s">
        <v>232</v>
      </c>
      <c r="F5" s="32">
        <f ca="1">(INT(NOW()))</f>
        <v>42246</v>
      </c>
    </row>
    <row r="7" spans="1:9">
      <c r="A7" s="1" t="s">
        <v>233</v>
      </c>
      <c r="D7" s="1" t="s">
        <v>30</v>
      </c>
    </row>
    <row r="8" spans="1:9">
      <c r="A8" s="1" t="s">
        <v>234</v>
      </c>
      <c r="B8" s="1" t="s">
        <v>235</v>
      </c>
      <c r="C8" s="1" t="s">
        <v>235</v>
      </c>
      <c r="D8" s="1" t="s">
        <v>235</v>
      </c>
    </row>
    <row r="9" spans="1:9">
      <c r="A9" s="1" t="s">
        <v>236</v>
      </c>
      <c r="C9" s="2" t="s">
        <v>237</v>
      </c>
      <c r="D9" s="14">
        <v>1000000</v>
      </c>
      <c r="F9" s="1" t="s">
        <v>238</v>
      </c>
      <c r="G9" s="1" t="s">
        <v>239</v>
      </c>
    </row>
    <row r="10" spans="1:9">
      <c r="A10" s="1" t="s">
        <v>240</v>
      </c>
      <c r="C10" s="2" t="s">
        <v>241</v>
      </c>
      <c r="D10" s="31">
        <v>20</v>
      </c>
      <c r="E10" s="19" t="s">
        <v>113</v>
      </c>
      <c r="G10" s="20" t="s">
        <v>113</v>
      </c>
      <c r="I10" s="1" t="s">
        <v>30</v>
      </c>
    </row>
    <row r="11" spans="1:9">
      <c r="A11" s="1" t="s">
        <v>242</v>
      </c>
      <c r="C11" s="2" t="s">
        <v>169</v>
      </c>
      <c r="D11" s="14">
        <v>5</v>
      </c>
      <c r="E11" s="19" t="s">
        <v>113</v>
      </c>
      <c r="F11" s="2" t="s">
        <v>20</v>
      </c>
      <c r="G11" s="20" t="s">
        <v>113</v>
      </c>
      <c r="I11" s="1" t="s">
        <v>30</v>
      </c>
    </row>
    <row r="12" spans="1:9">
      <c r="A12" s="1" t="s">
        <v>243</v>
      </c>
      <c r="D12" s="31">
        <v>12</v>
      </c>
      <c r="E12" s="19" t="s">
        <v>113</v>
      </c>
      <c r="F12" s="33">
        <f>IF(AND($D$15=1,A23&lt;=$J$25),PMT($J$24,$J$25,-$D$9),IF(AND($D$15=2,A23&lt;=$D$10),$D$12*PMT($J$24,$J$25,-$D$9),NA()))</f>
        <v>6599.5573921665591</v>
      </c>
      <c r="G12" s="20" t="s">
        <v>113</v>
      </c>
      <c r="I12" s="1" t="s">
        <v>30</v>
      </c>
    </row>
    <row r="13" spans="1:9">
      <c r="A13" s="1" t="s">
        <v>244</v>
      </c>
      <c r="C13" s="2" t="s">
        <v>169</v>
      </c>
      <c r="D13" s="10">
        <f>D11/D12</f>
        <v>0.41666666666666669</v>
      </c>
      <c r="E13" s="19" t="s">
        <v>113</v>
      </c>
      <c r="F13" s="26" t="s">
        <v>238</v>
      </c>
      <c r="G13" s="20" t="s">
        <v>113</v>
      </c>
      <c r="I13" s="1" t="s">
        <v>30</v>
      </c>
    </row>
    <row r="14" spans="1:9">
      <c r="A14" s="1" t="s">
        <v>245</v>
      </c>
    </row>
    <row r="15" spans="1:9">
      <c r="A15" s="1" t="s">
        <v>246</v>
      </c>
      <c r="D15" s="31">
        <v>1</v>
      </c>
    </row>
    <row r="16" spans="1:9">
      <c r="A16" s="1" t="s">
        <v>234</v>
      </c>
      <c r="B16" s="1" t="s">
        <v>235</v>
      </c>
      <c r="C16" s="1" t="s">
        <v>235</v>
      </c>
      <c r="D16" s="1" t="s">
        <v>235</v>
      </c>
    </row>
    <row r="17" spans="1:10">
      <c r="A17" s="1" t="s">
        <v>247</v>
      </c>
    </row>
    <row r="19" spans="1:10">
      <c r="B19" s="2" t="s">
        <v>23</v>
      </c>
      <c r="C19" s="2" t="s">
        <v>28</v>
      </c>
      <c r="D19" s="2" t="s">
        <v>248</v>
      </c>
      <c r="E19" s="2" t="s">
        <v>249</v>
      </c>
      <c r="F19" s="2" t="s">
        <v>18</v>
      </c>
    </row>
    <row r="20" spans="1:10">
      <c r="A20" s="2" t="s">
        <v>250</v>
      </c>
      <c r="B20" s="2" t="s">
        <v>251</v>
      </c>
      <c r="C20" s="2" t="s">
        <v>251</v>
      </c>
      <c r="D20" s="2" t="s">
        <v>251</v>
      </c>
      <c r="E20" s="2" t="s">
        <v>252</v>
      </c>
      <c r="F20" s="2" t="s">
        <v>23</v>
      </c>
    </row>
    <row r="21" spans="1:10">
      <c r="A21" s="1" t="s">
        <v>234</v>
      </c>
      <c r="B21" s="1" t="s">
        <v>235</v>
      </c>
      <c r="C21" s="1" t="s">
        <v>235</v>
      </c>
      <c r="D21" s="1" t="s">
        <v>235</v>
      </c>
      <c r="E21" s="1" t="s">
        <v>235</v>
      </c>
      <c r="F21" s="1" t="s">
        <v>235</v>
      </c>
    </row>
    <row r="22" spans="1:10">
      <c r="D22" s="10"/>
      <c r="E22" s="10">
        <f>$D$9</f>
        <v>1000000</v>
      </c>
    </row>
    <row r="23" spans="1:10">
      <c r="A23" s="7">
        <v>1</v>
      </c>
      <c r="B23" s="10">
        <f t="shared" ref="B23:B86" si="0">IF(E23&lt;0,NA(),D23-C23)</f>
        <v>4166.6666666666088</v>
      </c>
      <c r="C23" s="10">
        <f t="shared" ref="C23:C86" si="1">IF(E23&lt;0,NA(),E22-E23)</f>
        <v>2432.8907254999503</v>
      </c>
      <c r="D23" s="10">
        <f t="shared" ref="D23:D86" si="2">IF(A23&lt;=$J$26,$F$12,NA())</f>
        <v>6599.5573921665591</v>
      </c>
      <c r="E23" s="10">
        <f t="shared" ref="E23:E86" si="3">IF(A23&lt;=$J$26,PV($J$24,IF($D$15=1,$J$25-A23,$J$25-A23*$D$12),-IF($D$15=1,D23,D23/$D$12)),NA())</f>
        <v>997567.10927450005</v>
      </c>
      <c r="F23" s="10">
        <f t="shared" ref="F23:F86" si="4">IF(E23&lt;0,NA(),B23+F22)</f>
        <v>4166.6666666666088</v>
      </c>
      <c r="I23" s="26" t="s">
        <v>253</v>
      </c>
      <c r="J23" s="10">
        <f>$D$11/100</f>
        <v>0.05</v>
      </c>
    </row>
    <row r="24" spans="1:10">
      <c r="A24" s="7">
        <v>2</v>
      </c>
      <c r="B24" s="10">
        <f t="shared" si="0"/>
        <v>4156.5296219771071</v>
      </c>
      <c r="C24" s="10">
        <f t="shared" si="1"/>
        <v>2443.027770189452</v>
      </c>
      <c r="D24" s="10">
        <f t="shared" si="2"/>
        <v>6599.5573921665591</v>
      </c>
      <c r="E24" s="10">
        <f t="shared" si="3"/>
        <v>995124.0815043106</v>
      </c>
      <c r="F24" s="10">
        <f t="shared" si="4"/>
        <v>8323.1962886437159</v>
      </c>
      <c r="I24" s="26" t="s">
        <v>254</v>
      </c>
      <c r="J24" s="34">
        <f>$D$13/100</f>
        <v>4.1666666666666666E-3</v>
      </c>
    </row>
    <row r="25" spans="1:10">
      <c r="A25" s="7">
        <v>3</v>
      </c>
      <c r="B25" s="10">
        <f t="shared" si="0"/>
        <v>4146.3503396010301</v>
      </c>
      <c r="C25" s="10">
        <f t="shared" si="1"/>
        <v>2453.207052565529</v>
      </c>
      <c r="D25" s="10">
        <f t="shared" si="2"/>
        <v>6599.5573921665591</v>
      </c>
      <c r="E25" s="10">
        <f t="shared" si="3"/>
        <v>992670.87445174507</v>
      </c>
      <c r="F25" s="10">
        <f t="shared" si="4"/>
        <v>12469.546628244745</v>
      </c>
      <c r="I25" s="26" t="s">
        <v>255</v>
      </c>
      <c r="J25" s="10">
        <f>$D$10*$D$12</f>
        <v>240</v>
      </c>
    </row>
    <row r="26" spans="1:10">
      <c r="A26" s="7">
        <v>4</v>
      </c>
      <c r="B26" s="10">
        <f t="shared" si="0"/>
        <v>4136.1286435492611</v>
      </c>
      <c r="C26" s="10">
        <f t="shared" si="1"/>
        <v>2463.428748617298</v>
      </c>
      <c r="D26" s="10">
        <f t="shared" si="2"/>
        <v>6599.5573921665591</v>
      </c>
      <c r="E26" s="10">
        <f t="shared" si="3"/>
        <v>990207.44570312777</v>
      </c>
      <c r="F26" s="10">
        <f t="shared" si="4"/>
        <v>16605.675271794007</v>
      </c>
      <c r="I26" s="26" t="s">
        <v>256</v>
      </c>
      <c r="J26" s="10">
        <f>IF($D$15=1,$J$25,IF($D$15=2,$D$10,0))</f>
        <v>240</v>
      </c>
    </row>
    <row r="27" spans="1:10">
      <c r="A27" s="7">
        <v>5</v>
      </c>
      <c r="B27" s="10">
        <f t="shared" si="0"/>
        <v>4125.8643570962404</v>
      </c>
      <c r="C27" s="10">
        <f t="shared" si="1"/>
        <v>2473.6930350703187</v>
      </c>
      <c r="D27" s="10">
        <f t="shared" si="2"/>
        <v>6599.5573921665591</v>
      </c>
      <c r="E27" s="10">
        <f t="shared" si="3"/>
        <v>987733.75266805745</v>
      </c>
      <c r="F27" s="10">
        <f t="shared" si="4"/>
        <v>20731.539628890248</v>
      </c>
      <c r="I27" s="1" t="s">
        <v>257</v>
      </c>
      <c r="J27" s="10">
        <f>((((1+$J$24)^$D$12)-1)/(((1+$J$24)^$J$25)-1))</f>
        <v>2.9873113645306044E-2</v>
      </c>
    </row>
    <row r="28" spans="1:10">
      <c r="A28" s="7">
        <v>6</v>
      </c>
      <c r="B28" s="10">
        <f t="shared" si="0"/>
        <v>4115.5573027838063</v>
      </c>
      <c r="C28" s="10">
        <f t="shared" si="1"/>
        <v>2484.0000893827528</v>
      </c>
      <c r="D28" s="10">
        <f t="shared" si="2"/>
        <v>6599.5573921665591</v>
      </c>
      <c r="E28" s="10">
        <f t="shared" si="3"/>
        <v>985249.7525786747</v>
      </c>
      <c r="F28" s="10">
        <f t="shared" si="4"/>
        <v>24847.096931674056</v>
      </c>
      <c r="I28" s="1" t="s">
        <v>258</v>
      </c>
      <c r="J28" s="7">
        <f>IF($D$15=1,J24,J23)</f>
        <v>4.1666666666666666E-3</v>
      </c>
    </row>
    <row r="29" spans="1:10">
      <c r="A29" s="7">
        <v>7</v>
      </c>
      <c r="B29" s="10">
        <f t="shared" si="0"/>
        <v>4105.2073024108349</v>
      </c>
      <c r="C29" s="10">
        <f t="shared" si="1"/>
        <v>2494.3500897557242</v>
      </c>
      <c r="D29" s="10">
        <f t="shared" si="2"/>
        <v>6599.5573921665591</v>
      </c>
      <c r="E29" s="10">
        <f t="shared" si="3"/>
        <v>982755.40248891897</v>
      </c>
      <c r="F29" s="10">
        <f t="shared" si="4"/>
        <v>28952.304234084892</v>
      </c>
    </row>
    <row r="30" spans="1:10">
      <c r="A30" s="7">
        <v>8</v>
      </c>
      <c r="B30" s="10">
        <f t="shared" si="0"/>
        <v>4094.8141770371976</v>
      </c>
      <c r="C30" s="10">
        <f t="shared" si="1"/>
        <v>2504.7432151293615</v>
      </c>
      <c r="D30" s="10">
        <f t="shared" si="2"/>
        <v>6599.5573921665591</v>
      </c>
      <c r="E30" s="10">
        <f t="shared" si="3"/>
        <v>980250.65927378961</v>
      </c>
      <c r="F30" s="10">
        <f t="shared" si="4"/>
        <v>33047.118411122086</v>
      </c>
    </row>
    <row r="31" spans="1:10">
      <c r="A31" s="7">
        <v>9</v>
      </c>
      <c r="B31" s="10">
        <f t="shared" si="0"/>
        <v>4084.3777469743318</v>
      </c>
      <c r="C31" s="10">
        <f t="shared" si="1"/>
        <v>2515.1796451922273</v>
      </c>
      <c r="D31" s="10">
        <f t="shared" si="2"/>
        <v>6599.5573921665591</v>
      </c>
      <c r="E31" s="10">
        <f t="shared" si="3"/>
        <v>977735.47962859739</v>
      </c>
      <c r="F31" s="10">
        <f t="shared" si="4"/>
        <v>37131.496158096415</v>
      </c>
    </row>
    <row r="32" spans="1:10">
      <c r="A32" s="7">
        <v>10</v>
      </c>
      <c r="B32" s="10">
        <f t="shared" si="0"/>
        <v>4073.8978317855899</v>
      </c>
      <c r="C32" s="10">
        <f t="shared" si="1"/>
        <v>2525.6595603809692</v>
      </c>
      <c r="D32" s="10">
        <f t="shared" si="2"/>
        <v>6599.5573921665591</v>
      </c>
      <c r="E32" s="10">
        <f t="shared" si="3"/>
        <v>975209.82006821642</v>
      </c>
      <c r="F32" s="10">
        <f t="shared" si="4"/>
        <v>41205.393989882003</v>
      </c>
    </row>
    <row r="33" spans="1:10">
      <c r="A33" s="7">
        <v>11</v>
      </c>
      <c r="B33" s="10">
        <f t="shared" si="0"/>
        <v>4063.3742502842606</v>
      </c>
      <c r="C33" s="10">
        <f t="shared" si="1"/>
        <v>2536.1831418822985</v>
      </c>
      <c r="D33" s="10">
        <f t="shared" si="2"/>
        <v>6599.5573921665591</v>
      </c>
      <c r="E33" s="10">
        <f t="shared" si="3"/>
        <v>972673.63692633412</v>
      </c>
      <c r="F33" s="10">
        <f t="shared" si="4"/>
        <v>45268.768240166261</v>
      </c>
    </row>
    <row r="34" spans="1:10">
      <c r="A34" s="7">
        <v>12</v>
      </c>
      <c r="B34" s="10">
        <f t="shared" si="0"/>
        <v>4052.8068205262343</v>
      </c>
      <c r="C34" s="10">
        <f t="shared" si="1"/>
        <v>2546.7505716403248</v>
      </c>
      <c r="D34" s="10">
        <f t="shared" si="2"/>
        <v>6599.5573921665591</v>
      </c>
      <c r="E34" s="10">
        <f t="shared" si="3"/>
        <v>970126.88635469379</v>
      </c>
      <c r="F34" s="10">
        <f t="shared" si="4"/>
        <v>49321.575060692492</v>
      </c>
    </row>
    <row r="35" spans="1:10">
      <c r="A35" s="7">
        <v>13</v>
      </c>
      <c r="B35" s="10">
        <f t="shared" si="0"/>
        <v>4042.1953598115169</v>
      </c>
      <c r="C35" s="10">
        <f t="shared" si="1"/>
        <v>2557.3620323550422</v>
      </c>
      <c r="D35" s="10">
        <f t="shared" si="2"/>
        <v>6599.5573921665591</v>
      </c>
      <c r="E35" s="10">
        <f t="shared" si="3"/>
        <v>967569.52432233875</v>
      </c>
      <c r="F35" s="10">
        <f t="shared" si="4"/>
        <v>53363.770420504006</v>
      </c>
    </row>
    <row r="36" spans="1:10">
      <c r="A36" s="7">
        <v>14</v>
      </c>
      <c r="B36" s="10">
        <f t="shared" si="0"/>
        <v>4031.5396846761969</v>
      </c>
      <c r="C36" s="10">
        <f t="shared" si="1"/>
        <v>2568.0177074903622</v>
      </c>
      <c r="D36" s="10">
        <f t="shared" si="2"/>
        <v>6599.5573921665591</v>
      </c>
      <c r="E36" s="10">
        <f t="shared" si="3"/>
        <v>965001.50661484839</v>
      </c>
      <c r="F36" s="10">
        <f t="shared" si="4"/>
        <v>57395.3101051802</v>
      </c>
    </row>
    <row r="37" spans="1:10">
      <c r="A37" s="7">
        <v>15</v>
      </c>
      <c r="B37" s="10">
        <f t="shared" si="0"/>
        <v>4020.8396108952393</v>
      </c>
      <c r="C37" s="10">
        <f t="shared" si="1"/>
        <v>2578.7177812713198</v>
      </c>
      <c r="D37" s="10">
        <f t="shared" si="2"/>
        <v>6599.5573921665591</v>
      </c>
      <c r="E37" s="10">
        <f t="shared" si="3"/>
        <v>962422.78883357707</v>
      </c>
      <c r="F37" s="10">
        <f t="shared" si="4"/>
        <v>61416.149716075437</v>
      </c>
    </row>
    <row r="38" spans="1:10">
      <c r="A38" s="7">
        <v>16</v>
      </c>
      <c r="B38" s="10">
        <f t="shared" si="0"/>
        <v>4010.0949534731726</v>
      </c>
      <c r="C38" s="10">
        <f t="shared" si="1"/>
        <v>2589.4624386933865</v>
      </c>
      <c r="D38" s="10">
        <f t="shared" si="2"/>
        <v>6599.5573921665591</v>
      </c>
      <c r="E38" s="10">
        <f t="shared" si="3"/>
        <v>959833.32639488368</v>
      </c>
      <c r="F38" s="10">
        <f t="shared" si="4"/>
        <v>65426.244669548607</v>
      </c>
    </row>
    <row r="39" spans="1:10">
      <c r="A39" s="7">
        <v>17</v>
      </c>
      <c r="B39" s="10">
        <f t="shared" si="0"/>
        <v>3999.3055266457186</v>
      </c>
      <c r="C39" s="10">
        <f t="shared" si="1"/>
        <v>2600.2518655208405</v>
      </c>
      <c r="D39" s="10">
        <f t="shared" si="2"/>
        <v>6599.5573921665591</v>
      </c>
      <c r="E39" s="10">
        <f t="shared" si="3"/>
        <v>957233.07452936284</v>
      </c>
      <c r="F39" s="10">
        <f t="shared" si="4"/>
        <v>69425.550196194323</v>
      </c>
    </row>
    <row r="40" spans="1:10">
      <c r="A40" s="7">
        <v>18</v>
      </c>
      <c r="B40" s="10">
        <f t="shared" si="0"/>
        <v>3988.4711438717595</v>
      </c>
      <c r="C40" s="10">
        <f t="shared" si="1"/>
        <v>2611.0862482947996</v>
      </c>
      <c r="D40" s="10">
        <f t="shared" si="2"/>
        <v>6599.5573921665591</v>
      </c>
      <c r="E40" s="10">
        <f t="shared" si="3"/>
        <v>954621.98828106804</v>
      </c>
      <c r="F40" s="10">
        <f t="shared" si="4"/>
        <v>73414.021340066087</v>
      </c>
      <c r="H40" s="26" t="s">
        <v>239</v>
      </c>
      <c r="I40" s="26" t="s">
        <v>239</v>
      </c>
      <c r="J40" s="26" t="s">
        <v>239</v>
      </c>
    </row>
    <row r="41" spans="1:10">
      <c r="A41" s="7">
        <v>19</v>
      </c>
      <c r="B41" s="10">
        <f t="shared" si="0"/>
        <v>3977.5916178379948</v>
      </c>
      <c r="C41" s="10">
        <f t="shared" si="1"/>
        <v>2621.9657743285643</v>
      </c>
      <c r="D41" s="10">
        <f t="shared" si="2"/>
        <v>6599.5573921665591</v>
      </c>
      <c r="E41" s="10">
        <f t="shared" si="3"/>
        <v>952000.02250673948</v>
      </c>
      <c r="F41" s="10">
        <f t="shared" si="4"/>
        <v>77391.612957904086</v>
      </c>
    </row>
    <row r="42" spans="1:10">
      <c r="A42" s="7">
        <v>20</v>
      </c>
      <c r="B42" s="10">
        <f t="shared" si="0"/>
        <v>3966.666760444622</v>
      </c>
      <c r="C42" s="10">
        <f t="shared" si="1"/>
        <v>2632.8906317219371</v>
      </c>
      <c r="D42" s="10">
        <f t="shared" si="2"/>
        <v>6599.5573921665591</v>
      </c>
      <c r="E42" s="10">
        <f t="shared" si="3"/>
        <v>949367.13187501754</v>
      </c>
      <c r="F42" s="10">
        <f t="shared" si="4"/>
        <v>81358.279718348713</v>
      </c>
    </row>
    <row r="43" spans="1:10">
      <c r="A43" s="7">
        <v>21</v>
      </c>
      <c r="B43" s="10">
        <f t="shared" si="0"/>
        <v>3955.6963828126709</v>
      </c>
      <c r="C43" s="10">
        <f t="shared" si="1"/>
        <v>2643.8610093538882</v>
      </c>
      <c r="D43" s="10">
        <f t="shared" si="2"/>
        <v>6599.5573921665591</v>
      </c>
      <c r="E43" s="10">
        <f t="shared" si="3"/>
        <v>946723.27086566365</v>
      </c>
      <c r="F43" s="10">
        <f t="shared" si="4"/>
        <v>85313.976101161388</v>
      </c>
    </row>
    <row r="44" spans="1:10">
      <c r="A44" s="7">
        <v>22</v>
      </c>
      <c r="B44" s="10">
        <f t="shared" si="0"/>
        <v>3944.6802952738753</v>
      </c>
      <c r="C44" s="10">
        <f t="shared" si="1"/>
        <v>2654.8770968926838</v>
      </c>
      <c r="D44" s="10">
        <f t="shared" si="2"/>
        <v>6599.5573921665591</v>
      </c>
      <c r="E44" s="10">
        <f t="shared" si="3"/>
        <v>944068.39376877097</v>
      </c>
      <c r="F44" s="10">
        <f t="shared" si="4"/>
        <v>89258.656396435268</v>
      </c>
    </row>
    <row r="45" spans="1:10">
      <c r="A45" s="7">
        <v>23</v>
      </c>
      <c r="B45" s="10">
        <f t="shared" si="0"/>
        <v>3933.6183073695092</v>
      </c>
      <c r="C45" s="10">
        <f t="shared" si="1"/>
        <v>2665.9390847970499</v>
      </c>
      <c r="D45" s="10">
        <f t="shared" si="2"/>
        <v>6599.5573921665591</v>
      </c>
      <c r="E45" s="10">
        <f t="shared" si="3"/>
        <v>941402.45468397392</v>
      </c>
      <c r="F45" s="10">
        <f t="shared" si="4"/>
        <v>93192.274703804782</v>
      </c>
    </row>
    <row r="46" spans="1:10">
      <c r="A46" s="7">
        <v>24</v>
      </c>
      <c r="B46" s="10">
        <f t="shared" si="0"/>
        <v>3922.5102278501536</v>
      </c>
      <c r="C46" s="10">
        <f t="shared" si="1"/>
        <v>2677.0471643164055</v>
      </c>
      <c r="D46" s="10">
        <f t="shared" si="2"/>
        <v>6599.5573921665591</v>
      </c>
      <c r="E46" s="10">
        <f t="shared" si="3"/>
        <v>938725.40751965751</v>
      </c>
      <c r="F46" s="10">
        <f t="shared" si="4"/>
        <v>97114.78493165494</v>
      </c>
    </row>
    <row r="47" spans="1:10">
      <c r="A47" s="7">
        <v>25</v>
      </c>
      <c r="B47" s="10">
        <f t="shared" si="0"/>
        <v>3911.3558646653355</v>
      </c>
      <c r="C47" s="10">
        <f t="shared" si="1"/>
        <v>2688.2015275012236</v>
      </c>
      <c r="D47" s="10">
        <f t="shared" si="2"/>
        <v>6599.5573921665591</v>
      </c>
      <c r="E47" s="10">
        <f t="shared" si="3"/>
        <v>936037.20599215629</v>
      </c>
      <c r="F47" s="10">
        <f t="shared" si="4"/>
        <v>101026.14079632028</v>
      </c>
    </row>
    <row r="48" spans="1:10">
      <c r="A48" s="7">
        <v>26</v>
      </c>
      <c r="B48" s="10">
        <f t="shared" si="0"/>
        <v>3900.1550249669044</v>
      </c>
      <c r="C48" s="10">
        <f t="shared" si="1"/>
        <v>2699.4023671996547</v>
      </c>
      <c r="D48" s="10">
        <f t="shared" si="2"/>
        <v>6599.5573921665591</v>
      </c>
      <c r="E48" s="10">
        <f t="shared" si="3"/>
        <v>933337.80362495664</v>
      </c>
      <c r="F48" s="10">
        <f t="shared" si="4"/>
        <v>104926.29582128719</v>
      </c>
    </row>
    <row r="49" spans="1:6">
      <c r="A49" s="7">
        <v>27</v>
      </c>
      <c r="B49" s="10">
        <f t="shared" si="0"/>
        <v>3888.9075151041425</v>
      </c>
      <c r="C49" s="10">
        <f t="shared" si="1"/>
        <v>2710.6498770624166</v>
      </c>
      <c r="D49" s="10">
        <f t="shared" si="2"/>
        <v>6599.5573921665591</v>
      </c>
      <c r="E49" s="10">
        <f t="shared" si="3"/>
        <v>930627.15374789422</v>
      </c>
      <c r="F49" s="10">
        <f t="shared" si="4"/>
        <v>108815.20333639134</v>
      </c>
    </row>
    <row r="50" spans="1:6">
      <c r="A50" s="7">
        <v>28</v>
      </c>
      <c r="B50" s="10">
        <f t="shared" si="0"/>
        <v>3877.613140616314</v>
      </c>
      <c r="C50" s="10">
        <f t="shared" si="1"/>
        <v>2721.9442515502451</v>
      </c>
      <c r="D50" s="10">
        <f t="shared" si="2"/>
        <v>6599.5573921665591</v>
      </c>
      <c r="E50" s="10">
        <f t="shared" si="3"/>
        <v>927905.20949634397</v>
      </c>
      <c r="F50" s="10">
        <f t="shared" si="4"/>
        <v>112692.81647700765</v>
      </c>
    </row>
    <row r="51" spans="1:6">
      <c r="A51" s="7">
        <v>29</v>
      </c>
      <c r="B51" s="10">
        <f t="shared" si="0"/>
        <v>3866.271706234761</v>
      </c>
      <c r="C51" s="10">
        <f t="shared" si="1"/>
        <v>2733.2856859317981</v>
      </c>
      <c r="D51" s="10">
        <f t="shared" si="2"/>
        <v>6599.5573921665591</v>
      </c>
      <c r="E51" s="10">
        <f t="shared" si="3"/>
        <v>925171.92381041218</v>
      </c>
      <c r="F51" s="10">
        <f t="shared" si="4"/>
        <v>116559.08818324242</v>
      </c>
    </row>
    <row r="52" spans="1:6">
      <c r="A52" s="7">
        <v>30</v>
      </c>
      <c r="B52" s="10">
        <f t="shared" si="0"/>
        <v>3854.8830158765004</v>
      </c>
      <c r="C52" s="10">
        <f t="shared" si="1"/>
        <v>2744.6743762900587</v>
      </c>
      <c r="D52" s="10">
        <f t="shared" si="2"/>
        <v>6599.5573921665591</v>
      </c>
      <c r="E52" s="10">
        <f t="shared" si="3"/>
        <v>922427.24943412212</v>
      </c>
      <c r="F52" s="10">
        <f t="shared" si="4"/>
        <v>120413.97119911893</v>
      </c>
    </row>
    <row r="53" spans="1:6">
      <c r="A53" s="7">
        <v>31</v>
      </c>
      <c r="B53" s="10">
        <f t="shared" si="0"/>
        <v>3843.4468726421283</v>
      </c>
      <c r="C53" s="10">
        <f t="shared" si="1"/>
        <v>2756.1105195244309</v>
      </c>
      <c r="D53" s="10">
        <f t="shared" si="2"/>
        <v>6599.5573921665591</v>
      </c>
      <c r="E53" s="10">
        <f t="shared" si="3"/>
        <v>919671.13891459769</v>
      </c>
      <c r="F53" s="10">
        <f t="shared" si="4"/>
        <v>124257.41807176106</v>
      </c>
    </row>
    <row r="54" spans="1:6">
      <c r="A54" s="7">
        <v>32</v>
      </c>
      <c r="B54" s="10">
        <f t="shared" si="0"/>
        <v>3831.9630788108143</v>
      </c>
      <c r="C54" s="10">
        <f t="shared" si="1"/>
        <v>2767.5943133557448</v>
      </c>
      <c r="D54" s="10">
        <f t="shared" si="2"/>
        <v>6599.5573921665591</v>
      </c>
      <c r="E54" s="10">
        <f t="shared" si="3"/>
        <v>916903.54460124194</v>
      </c>
      <c r="F54" s="10">
        <f t="shared" si="4"/>
        <v>128089.38115057188</v>
      </c>
    </row>
    <row r="55" spans="1:6">
      <c r="A55" s="7">
        <v>33</v>
      </c>
      <c r="B55" s="10">
        <f t="shared" si="0"/>
        <v>3820.4314358386719</v>
      </c>
      <c r="C55" s="10">
        <f t="shared" si="1"/>
        <v>2779.1259563278873</v>
      </c>
      <c r="D55" s="10">
        <f t="shared" si="2"/>
        <v>6599.5573921665591</v>
      </c>
      <c r="E55" s="10">
        <f t="shared" si="3"/>
        <v>914124.41864491405</v>
      </c>
      <c r="F55" s="10">
        <f t="shared" si="4"/>
        <v>131909.81258641055</v>
      </c>
    </row>
    <row r="56" spans="1:6">
      <c r="A56" s="7">
        <v>34</v>
      </c>
      <c r="B56" s="10">
        <f t="shared" si="0"/>
        <v>3808.8517443536357</v>
      </c>
      <c r="C56" s="10">
        <f t="shared" si="1"/>
        <v>2790.7056478129234</v>
      </c>
      <c r="D56" s="10">
        <f t="shared" si="2"/>
        <v>6599.5573921665591</v>
      </c>
      <c r="E56" s="10">
        <f t="shared" si="3"/>
        <v>911333.71299710113</v>
      </c>
      <c r="F56" s="10">
        <f t="shared" si="4"/>
        <v>135718.66433076418</v>
      </c>
    </row>
    <row r="57" spans="1:6">
      <c r="A57" s="7">
        <v>35</v>
      </c>
      <c r="B57" s="10">
        <f t="shared" si="0"/>
        <v>3797.2238041545306</v>
      </c>
      <c r="C57" s="10">
        <f t="shared" si="1"/>
        <v>2802.3335880120285</v>
      </c>
      <c r="D57" s="10">
        <f t="shared" si="2"/>
        <v>6599.5573921665591</v>
      </c>
      <c r="E57" s="10">
        <f t="shared" si="3"/>
        <v>908531.3794090891</v>
      </c>
      <c r="F57" s="10">
        <f t="shared" si="4"/>
        <v>139515.8881349187</v>
      </c>
    </row>
    <row r="58" spans="1:6">
      <c r="A58" s="7">
        <v>36</v>
      </c>
      <c r="B58" s="10">
        <f t="shared" si="0"/>
        <v>3785.5474142046687</v>
      </c>
      <c r="C58" s="10">
        <f t="shared" si="1"/>
        <v>2814.0099779618904</v>
      </c>
      <c r="D58" s="10">
        <f t="shared" si="2"/>
        <v>6599.5573921665591</v>
      </c>
      <c r="E58" s="10">
        <f t="shared" si="3"/>
        <v>905717.36943112721</v>
      </c>
      <c r="F58" s="10">
        <f t="shared" si="4"/>
        <v>143301.43554912336</v>
      </c>
    </row>
    <row r="59" spans="1:6">
      <c r="A59" s="7">
        <v>37</v>
      </c>
      <c r="B59" s="10">
        <f t="shared" si="0"/>
        <v>3773.8223726295209</v>
      </c>
      <c r="C59" s="10">
        <f t="shared" si="1"/>
        <v>2825.7350195370382</v>
      </c>
      <c r="D59" s="10">
        <f t="shared" si="2"/>
        <v>6599.5573921665591</v>
      </c>
      <c r="E59" s="10">
        <f t="shared" si="3"/>
        <v>902891.63441159017</v>
      </c>
      <c r="F59" s="10">
        <f t="shared" si="4"/>
        <v>147075.25792175287</v>
      </c>
    </row>
    <row r="60" spans="1:6">
      <c r="A60" s="7">
        <v>38</v>
      </c>
      <c r="B60" s="10">
        <f t="shared" si="0"/>
        <v>3762.0484767152038</v>
      </c>
      <c r="C60" s="10">
        <f t="shared" si="1"/>
        <v>2837.5089154513553</v>
      </c>
      <c r="D60" s="10">
        <f t="shared" si="2"/>
        <v>6599.5573921665591</v>
      </c>
      <c r="E60" s="10">
        <f t="shared" si="3"/>
        <v>900054.12549613882</v>
      </c>
      <c r="F60" s="10">
        <f t="shared" si="4"/>
        <v>150837.30639846806</v>
      </c>
    </row>
    <row r="61" spans="1:6">
      <c r="A61" s="7">
        <v>39</v>
      </c>
      <c r="B61" s="10">
        <f t="shared" si="0"/>
        <v>3750.2255229005632</v>
      </c>
      <c r="C61" s="10">
        <f t="shared" si="1"/>
        <v>2849.3318692659959</v>
      </c>
      <c r="D61" s="10">
        <f t="shared" si="2"/>
        <v>6599.5573921665591</v>
      </c>
      <c r="E61" s="10">
        <f t="shared" si="3"/>
        <v>897204.79362687282</v>
      </c>
      <c r="F61" s="10">
        <f t="shared" si="4"/>
        <v>154587.53192136862</v>
      </c>
    </row>
    <row r="62" spans="1:6">
      <c r="A62" s="7">
        <v>40</v>
      </c>
      <c r="B62" s="10">
        <f t="shared" si="0"/>
        <v>3738.3533067785711</v>
      </c>
      <c r="C62" s="10">
        <f t="shared" si="1"/>
        <v>2861.204085387988</v>
      </c>
      <c r="D62" s="10">
        <f t="shared" si="2"/>
        <v>6599.5573921665591</v>
      </c>
      <c r="E62" s="10">
        <f t="shared" si="3"/>
        <v>894343.58954148483</v>
      </c>
      <c r="F62" s="10">
        <f t="shared" si="4"/>
        <v>158325.88522814718</v>
      </c>
    </row>
    <row r="63" spans="1:6">
      <c r="A63" s="7">
        <v>41</v>
      </c>
      <c r="B63" s="10">
        <f t="shared" si="0"/>
        <v>3726.4316230895738</v>
      </c>
      <c r="C63" s="10">
        <f t="shared" si="1"/>
        <v>2873.1257690769853</v>
      </c>
      <c r="D63" s="10">
        <f t="shared" si="2"/>
        <v>6599.5573921665591</v>
      </c>
      <c r="E63" s="10">
        <f t="shared" si="3"/>
        <v>891470.46377240785</v>
      </c>
      <c r="F63" s="10">
        <f t="shared" si="4"/>
        <v>162052.31685123674</v>
      </c>
    </row>
    <row r="64" spans="1:6">
      <c r="A64" s="7">
        <v>42</v>
      </c>
      <c r="B64" s="10">
        <f t="shared" si="0"/>
        <v>3714.460265718265</v>
      </c>
      <c r="C64" s="10">
        <f t="shared" si="1"/>
        <v>2885.0971264482941</v>
      </c>
      <c r="D64" s="10">
        <f t="shared" si="2"/>
        <v>6599.5573921665591</v>
      </c>
      <c r="E64" s="10">
        <f t="shared" si="3"/>
        <v>888585.36664595956</v>
      </c>
      <c r="F64" s="10">
        <f t="shared" si="4"/>
        <v>165766.777116955</v>
      </c>
    </row>
    <row r="65" spans="1:6">
      <c r="A65" s="7">
        <v>43</v>
      </c>
      <c r="B65" s="10">
        <f t="shared" si="0"/>
        <v>3702.4390276914737</v>
      </c>
      <c r="C65" s="10">
        <f t="shared" si="1"/>
        <v>2897.1183644750854</v>
      </c>
      <c r="D65" s="10">
        <f t="shared" si="2"/>
        <v>6599.5573921665591</v>
      </c>
      <c r="E65" s="10">
        <f t="shared" si="3"/>
        <v>885688.24828148447</v>
      </c>
      <c r="F65" s="10">
        <f t="shared" si="4"/>
        <v>169469.21614464646</v>
      </c>
    </row>
    <row r="66" spans="1:6">
      <c r="A66" s="7">
        <v>44</v>
      </c>
      <c r="B66" s="10">
        <f t="shared" si="0"/>
        <v>3690.3677011728096</v>
      </c>
      <c r="C66" s="10">
        <f t="shared" si="1"/>
        <v>2909.1896909937495</v>
      </c>
      <c r="D66" s="10">
        <f t="shared" si="2"/>
        <v>6599.5573921665591</v>
      </c>
      <c r="E66" s="10">
        <f t="shared" si="3"/>
        <v>882779.05859049072</v>
      </c>
      <c r="F66" s="10">
        <f t="shared" si="4"/>
        <v>173159.58384581926</v>
      </c>
    </row>
    <row r="67" spans="1:6">
      <c r="A67" s="7">
        <v>45</v>
      </c>
      <c r="B67" s="10">
        <f t="shared" si="0"/>
        <v>3678.2460774603342</v>
      </c>
      <c r="C67" s="10">
        <f t="shared" si="1"/>
        <v>2921.3113147062249</v>
      </c>
      <c r="D67" s="10">
        <f t="shared" si="2"/>
        <v>6599.5573921665591</v>
      </c>
      <c r="E67" s="10">
        <f t="shared" si="3"/>
        <v>879857.7472757845</v>
      </c>
      <c r="F67" s="10">
        <f t="shared" si="4"/>
        <v>176837.82992327958</v>
      </c>
    </row>
    <row r="68" spans="1:6">
      <c r="A68" s="7">
        <v>46</v>
      </c>
      <c r="B68" s="10">
        <f t="shared" si="0"/>
        <v>3666.0739469824866</v>
      </c>
      <c r="C68" s="10">
        <f t="shared" si="1"/>
        <v>2933.4834451840725</v>
      </c>
      <c r="D68" s="10">
        <f t="shared" si="2"/>
        <v>6599.5573921665591</v>
      </c>
      <c r="E68" s="10">
        <f t="shared" si="3"/>
        <v>876924.26383060042</v>
      </c>
      <c r="F68" s="10">
        <f t="shared" si="4"/>
        <v>180503.90387026206</v>
      </c>
    </row>
    <row r="69" spans="1:6">
      <c r="A69" s="7">
        <v>47</v>
      </c>
      <c r="B69" s="10">
        <f t="shared" si="0"/>
        <v>3653.8510992941256</v>
      </c>
      <c r="C69" s="10">
        <f t="shared" si="1"/>
        <v>2945.7062928724336</v>
      </c>
      <c r="D69" s="10">
        <f t="shared" si="2"/>
        <v>6599.5573921665591</v>
      </c>
      <c r="E69" s="10">
        <f t="shared" si="3"/>
        <v>873978.55753772799</v>
      </c>
      <c r="F69" s="10">
        <f t="shared" si="4"/>
        <v>184157.75496955618</v>
      </c>
    </row>
    <row r="70" spans="1:6">
      <c r="A70" s="7">
        <v>48</v>
      </c>
      <c r="B70" s="10">
        <f t="shared" si="0"/>
        <v>3641.5773230739678</v>
      </c>
      <c r="C70" s="10">
        <f t="shared" si="1"/>
        <v>2957.9800690925913</v>
      </c>
      <c r="D70" s="10">
        <f t="shared" si="2"/>
        <v>6599.5573921665591</v>
      </c>
      <c r="E70" s="10">
        <f t="shared" si="3"/>
        <v>871020.5774686354</v>
      </c>
      <c r="F70" s="10">
        <f t="shared" si="4"/>
        <v>187799.33229263013</v>
      </c>
    </row>
    <row r="71" spans="1:6">
      <c r="A71" s="7">
        <v>49</v>
      </c>
      <c r="B71" s="10">
        <f t="shared" si="0"/>
        <v>3629.2524061196991</v>
      </c>
      <c r="C71" s="10">
        <f t="shared" si="1"/>
        <v>2970.30498604686</v>
      </c>
      <c r="D71" s="10">
        <f t="shared" si="2"/>
        <v>6599.5573921665591</v>
      </c>
      <c r="E71" s="10">
        <f t="shared" si="3"/>
        <v>868050.27248258854</v>
      </c>
      <c r="F71" s="10">
        <f t="shared" si="4"/>
        <v>191428.58469874982</v>
      </c>
    </row>
    <row r="72" spans="1:6">
      <c r="A72" s="7">
        <v>50</v>
      </c>
      <c r="B72" s="10">
        <f t="shared" si="0"/>
        <v>3616.8761353434338</v>
      </c>
      <c r="C72" s="10">
        <f t="shared" si="1"/>
        <v>2982.6812568231253</v>
      </c>
      <c r="D72" s="10">
        <f t="shared" si="2"/>
        <v>6599.5573921665591</v>
      </c>
      <c r="E72" s="10">
        <f t="shared" si="3"/>
        <v>865067.59122576541</v>
      </c>
      <c r="F72" s="10">
        <f t="shared" si="4"/>
        <v>195045.46083409325</v>
      </c>
    </row>
    <row r="73" spans="1:6">
      <c r="A73" s="7">
        <v>51</v>
      </c>
      <c r="B73" s="10">
        <f t="shared" si="0"/>
        <v>3604.4482967740432</v>
      </c>
      <c r="C73" s="10">
        <f t="shared" si="1"/>
        <v>2995.1090953925159</v>
      </c>
      <c r="D73" s="10">
        <f t="shared" si="2"/>
        <v>6599.5573921665591</v>
      </c>
      <c r="E73" s="10">
        <f t="shared" si="3"/>
        <v>862072.4821303729</v>
      </c>
      <c r="F73" s="10">
        <f t="shared" si="4"/>
        <v>198649.90913086728</v>
      </c>
    </row>
    <row r="74" spans="1:6">
      <c r="A74" s="7">
        <v>52</v>
      </c>
      <c r="B74" s="10">
        <f t="shared" si="0"/>
        <v>3591.9686755434186</v>
      </c>
      <c r="C74" s="10">
        <f t="shared" si="1"/>
        <v>3007.5887166231405</v>
      </c>
      <c r="D74" s="10">
        <f t="shared" si="2"/>
        <v>6599.5573921665591</v>
      </c>
      <c r="E74" s="10">
        <f t="shared" si="3"/>
        <v>859064.89341374976</v>
      </c>
      <c r="F74" s="10">
        <f t="shared" si="4"/>
        <v>202241.87780641069</v>
      </c>
    </row>
    <row r="75" spans="1:6">
      <c r="A75" s="7">
        <v>53</v>
      </c>
      <c r="B75" s="10">
        <f t="shared" si="0"/>
        <v>3579.4370558904293</v>
      </c>
      <c r="C75" s="10">
        <f t="shared" si="1"/>
        <v>3020.1203362761298</v>
      </c>
      <c r="D75" s="10">
        <f t="shared" si="2"/>
        <v>6599.5573921665591</v>
      </c>
      <c r="E75" s="10">
        <f t="shared" si="3"/>
        <v>856044.77307747363</v>
      </c>
      <c r="F75" s="10">
        <f t="shared" si="4"/>
        <v>205821.31486230111</v>
      </c>
    </row>
    <row r="76" spans="1:6">
      <c r="A76" s="7">
        <v>54</v>
      </c>
      <c r="B76" s="10">
        <f t="shared" si="0"/>
        <v>3566.8532211563825</v>
      </c>
      <c r="C76" s="10">
        <f t="shared" si="1"/>
        <v>3032.7041710101767</v>
      </c>
      <c r="D76" s="10">
        <f t="shared" si="2"/>
        <v>6599.5573921665591</v>
      </c>
      <c r="E76" s="10">
        <f t="shared" si="3"/>
        <v>853012.06890646345</v>
      </c>
      <c r="F76" s="10">
        <f t="shared" si="4"/>
        <v>209388.16808345748</v>
      </c>
    </row>
    <row r="77" spans="1:6">
      <c r="A77" s="7">
        <v>55</v>
      </c>
      <c r="B77" s="10">
        <f t="shared" si="0"/>
        <v>3554.2169537766413</v>
      </c>
      <c r="C77" s="10">
        <f t="shared" si="1"/>
        <v>3045.3404383899178</v>
      </c>
      <c r="D77" s="10">
        <f t="shared" si="2"/>
        <v>6599.5573921665591</v>
      </c>
      <c r="E77" s="10">
        <f t="shared" si="3"/>
        <v>849966.72846807353</v>
      </c>
      <c r="F77" s="10">
        <f t="shared" si="4"/>
        <v>212942.38503723411</v>
      </c>
    </row>
    <row r="78" spans="1:6">
      <c r="A78" s="7">
        <v>56</v>
      </c>
      <c r="B78" s="10">
        <f t="shared" si="0"/>
        <v>3541.5280352837681</v>
      </c>
      <c r="C78" s="10">
        <f t="shared" si="1"/>
        <v>3058.029356882791</v>
      </c>
      <c r="D78" s="10">
        <f t="shared" si="2"/>
        <v>6599.5573921665591</v>
      </c>
      <c r="E78" s="10">
        <f t="shared" si="3"/>
        <v>846908.69911119074</v>
      </c>
      <c r="F78" s="10">
        <f t="shared" si="4"/>
        <v>216483.91307251787</v>
      </c>
    </row>
    <row r="79" spans="1:6">
      <c r="A79" s="7">
        <v>57</v>
      </c>
      <c r="B79" s="10">
        <f t="shared" si="0"/>
        <v>3528.7862462968142</v>
      </c>
      <c r="C79" s="10">
        <f t="shared" si="1"/>
        <v>3070.7711458697449</v>
      </c>
      <c r="D79" s="10">
        <f t="shared" si="2"/>
        <v>6599.5573921665591</v>
      </c>
      <c r="E79" s="10">
        <f t="shared" si="3"/>
        <v>843837.927965321</v>
      </c>
      <c r="F79" s="10">
        <f t="shared" si="4"/>
        <v>220012.69931881467</v>
      </c>
    </row>
    <row r="80" spans="1:6">
      <c r="A80" s="7">
        <v>58</v>
      </c>
      <c r="B80" s="10">
        <f t="shared" si="0"/>
        <v>3515.9913665220183</v>
      </c>
      <c r="C80" s="10">
        <f t="shared" si="1"/>
        <v>3083.5660256445408</v>
      </c>
      <c r="D80" s="10">
        <f t="shared" si="2"/>
        <v>6599.5573921665591</v>
      </c>
      <c r="E80" s="10">
        <f t="shared" si="3"/>
        <v>840754.36193967646</v>
      </c>
      <c r="F80" s="10">
        <f t="shared" si="4"/>
        <v>223528.69068533668</v>
      </c>
    </row>
    <row r="81" spans="1:6">
      <c r="A81" s="7">
        <v>59</v>
      </c>
      <c r="B81" s="10">
        <f t="shared" si="0"/>
        <v>3503.1431747486158</v>
      </c>
      <c r="C81" s="10">
        <f t="shared" si="1"/>
        <v>3096.4142174179433</v>
      </c>
      <c r="D81" s="10">
        <f t="shared" si="2"/>
        <v>6599.5573921665591</v>
      </c>
      <c r="E81" s="10">
        <f t="shared" si="3"/>
        <v>837657.94772225851</v>
      </c>
      <c r="F81" s="10">
        <f t="shared" si="4"/>
        <v>227031.83386008529</v>
      </c>
    </row>
    <row r="82" spans="1:6">
      <c r="A82" s="7">
        <v>60</v>
      </c>
      <c r="B82" s="10">
        <f t="shared" si="0"/>
        <v>3490.2414488426684</v>
      </c>
      <c r="C82" s="10">
        <f t="shared" si="1"/>
        <v>3109.3159433238907</v>
      </c>
      <c r="D82" s="10">
        <f t="shared" si="2"/>
        <v>6599.5573921665591</v>
      </c>
      <c r="E82" s="10">
        <f t="shared" si="3"/>
        <v>834548.63177893462</v>
      </c>
      <c r="F82" s="10">
        <f t="shared" si="4"/>
        <v>230522.07530892795</v>
      </c>
    </row>
    <row r="83" spans="1:6">
      <c r="A83" s="7">
        <v>61</v>
      </c>
      <c r="B83" s="10">
        <f t="shared" si="0"/>
        <v>3477.2859657456675</v>
      </c>
      <c r="C83" s="10">
        <f t="shared" si="1"/>
        <v>3122.2714264208917</v>
      </c>
      <c r="D83" s="10">
        <f t="shared" si="2"/>
        <v>6599.5573921665591</v>
      </c>
      <c r="E83" s="10">
        <f t="shared" si="3"/>
        <v>831426.36035251373</v>
      </c>
      <c r="F83" s="10">
        <f t="shared" si="4"/>
        <v>233999.3612746736</v>
      </c>
    </row>
    <row r="84" spans="1:6">
      <c r="A84" s="7">
        <v>62</v>
      </c>
      <c r="B84" s="10">
        <f t="shared" si="0"/>
        <v>3464.2765014687129</v>
      </c>
      <c r="C84" s="10">
        <f t="shared" si="1"/>
        <v>3135.2808906978462</v>
      </c>
      <c r="D84" s="10">
        <f t="shared" si="2"/>
        <v>6599.5573921665591</v>
      </c>
      <c r="E84" s="10">
        <f t="shared" si="3"/>
        <v>828291.07946181588</v>
      </c>
      <c r="F84" s="10">
        <f t="shared" si="4"/>
        <v>237463.63777614231</v>
      </c>
    </row>
    <row r="85" spans="1:6">
      <c r="A85" s="7">
        <v>63</v>
      </c>
      <c r="B85" s="10">
        <f t="shared" si="0"/>
        <v>3451.2128310910002</v>
      </c>
      <c r="C85" s="10">
        <f t="shared" si="1"/>
        <v>3148.3445610755589</v>
      </c>
      <c r="D85" s="10">
        <f t="shared" si="2"/>
        <v>6599.5573921665591</v>
      </c>
      <c r="E85" s="10">
        <f t="shared" si="3"/>
        <v>825142.73490074032</v>
      </c>
      <c r="F85" s="10">
        <f t="shared" si="4"/>
        <v>240914.8506072333</v>
      </c>
    </row>
    <row r="86" spans="1:6">
      <c r="A86" s="7">
        <v>64</v>
      </c>
      <c r="B86" s="10">
        <f t="shared" si="0"/>
        <v>3438.0947287529516</v>
      </c>
      <c r="C86" s="10">
        <f t="shared" si="1"/>
        <v>3161.4626634136075</v>
      </c>
      <c r="D86" s="10">
        <f t="shared" si="2"/>
        <v>6599.5573921665591</v>
      </c>
      <c r="E86" s="10">
        <f t="shared" si="3"/>
        <v>821981.27223732672</v>
      </c>
      <c r="F86" s="10">
        <f t="shared" si="4"/>
        <v>244352.94533598624</v>
      </c>
    </row>
    <row r="87" spans="1:6">
      <c r="A87" s="7">
        <v>65</v>
      </c>
      <c r="B87" s="10">
        <f t="shared" ref="B87:B150" si="5">IF(E87&lt;0,NA(),D87-C87)</f>
        <v>3424.9219676557504</v>
      </c>
      <c r="C87" s="10">
        <f t="shared" ref="C87:C150" si="6">IF(E87&lt;0,NA(),E86-E87)</f>
        <v>3174.6354245108087</v>
      </c>
      <c r="D87" s="10">
        <f t="shared" ref="D87:D150" si="7">IF(A87&lt;=$J$26,$F$12,NA())</f>
        <v>6599.5573921665591</v>
      </c>
      <c r="E87" s="10">
        <f t="shared" ref="E87:E150" si="8">IF(A87&lt;=$J$26,PV($J$24,IF($D$15=1,$J$25-A87,$J$25-A87*$D$12),-IF($D$15=1,D87,D87/$D$12)),NA())</f>
        <v>818806.63681281591</v>
      </c>
      <c r="F87" s="10">
        <f t="shared" ref="F87:F150" si="9">IF(E87&lt;0,NA(),B87+F86)</f>
        <v>247777.86730364198</v>
      </c>
    </row>
    <row r="88" spans="1:6">
      <c r="A88" s="7">
        <v>66</v>
      </c>
      <c r="B88" s="10">
        <f t="shared" si="5"/>
        <v>3411.6943200531923</v>
      </c>
      <c r="C88" s="10">
        <f t="shared" si="6"/>
        <v>3187.8630721133668</v>
      </c>
      <c r="D88" s="10">
        <f t="shared" si="7"/>
        <v>6599.5573921665591</v>
      </c>
      <c r="E88" s="10">
        <f t="shared" si="8"/>
        <v>815618.77374070254</v>
      </c>
      <c r="F88" s="10">
        <f t="shared" si="9"/>
        <v>251189.56162369516</v>
      </c>
    </row>
    <row r="89" spans="1:6">
      <c r="A89" s="7">
        <v>67</v>
      </c>
      <c r="B89" s="10">
        <f t="shared" si="5"/>
        <v>3398.411557252849</v>
      </c>
      <c r="C89" s="10">
        <f t="shared" si="6"/>
        <v>3201.1458349137101</v>
      </c>
      <c r="D89" s="10">
        <f t="shared" si="7"/>
        <v>6599.5573921665591</v>
      </c>
      <c r="E89" s="10">
        <f t="shared" si="8"/>
        <v>812417.62790578883</v>
      </c>
      <c r="F89" s="10">
        <f t="shared" si="9"/>
        <v>254587.973180948</v>
      </c>
    </row>
    <row r="90" spans="1:6">
      <c r="A90" s="7">
        <v>68</v>
      </c>
      <c r="B90" s="10">
        <f t="shared" si="5"/>
        <v>3385.0734496074538</v>
      </c>
      <c r="C90" s="10">
        <f t="shared" si="6"/>
        <v>3214.4839425591053</v>
      </c>
      <c r="D90" s="10">
        <f t="shared" si="7"/>
        <v>6599.5573921665591</v>
      </c>
      <c r="E90" s="10">
        <f t="shared" si="8"/>
        <v>809203.14396322973</v>
      </c>
      <c r="F90" s="10">
        <f t="shared" si="9"/>
        <v>257973.04663055544</v>
      </c>
    </row>
    <row r="91" spans="1:6">
      <c r="A91" s="7">
        <v>69</v>
      </c>
      <c r="B91" s="10">
        <f t="shared" si="5"/>
        <v>3371.6797665135045</v>
      </c>
      <c r="C91" s="10">
        <f t="shared" si="6"/>
        <v>3227.8776256530546</v>
      </c>
      <c r="D91" s="10">
        <f t="shared" si="7"/>
        <v>6599.5573921665591</v>
      </c>
      <c r="E91" s="10">
        <f t="shared" si="8"/>
        <v>805975.26633757667</v>
      </c>
      <c r="F91" s="10">
        <f t="shared" si="9"/>
        <v>261344.72639706894</v>
      </c>
    </row>
    <row r="92" spans="1:6">
      <c r="A92" s="7">
        <v>70</v>
      </c>
      <c r="B92" s="10">
        <f t="shared" si="5"/>
        <v>3358.2302764067235</v>
      </c>
      <c r="C92" s="10">
        <f t="shared" si="6"/>
        <v>3241.3271157598356</v>
      </c>
      <c r="D92" s="10">
        <f t="shared" si="7"/>
        <v>6599.5573921665591</v>
      </c>
      <c r="E92" s="10">
        <f t="shared" si="8"/>
        <v>802733.93922181684</v>
      </c>
      <c r="F92" s="10">
        <f t="shared" si="9"/>
        <v>264702.95667347568</v>
      </c>
    </row>
    <row r="93" spans="1:6">
      <c r="A93" s="7">
        <v>71</v>
      </c>
      <c r="B93" s="10">
        <f t="shared" si="5"/>
        <v>3344.7247467572843</v>
      </c>
      <c r="C93" s="10">
        <f t="shared" si="6"/>
        <v>3254.8326454092748</v>
      </c>
      <c r="D93" s="10">
        <f t="shared" si="7"/>
        <v>6599.5573921665591</v>
      </c>
      <c r="E93" s="10">
        <f t="shared" si="8"/>
        <v>799479.10657640756</v>
      </c>
      <c r="F93" s="10">
        <f t="shared" si="9"/>
        <v>268047.68142023298</v>
      </c>
    </row>
    <row r="94" spans="1:6">
      <c r="A94" s="7">
        <v>72</v>
      </c>
      <c r="B94" s="10">
        <f t="shared" si="5"/>
        <v>3331.162944068531</v>
      </c>
      <c r="C94" s="10">
        <f t="shared" si="6"/>
        <v>3268.3944480980281</v>
      </c>
      <c r="D94" s="10">
        <f t="shared" si="7"/>
        <v>6599.5573921665591</v>
      </c>
      <c r="E94" s="10">
        <f t="shared" si="8"/>
        <v>796210.71212830953</v>
      </c>
      <c r="F94" s="10">
        <f t="shared" si="9"/>
        <v>271378.84436430153</v>
      </c>
    </row>
    <row r="95" spans="1:6">
      <c r="A95" s="7">
        <v>73</v>
      </c>
      <c r="B95" s="10">
        <f t="shared" si="5"/>
        <v>3317.5446338680149</v>
      </c>
      <c r="C95" s="10">
        <f t="shared" si="6"/>
        <v>3282.0127582985442</v>
      </c>
      <c r="D95" s="10">
        <f t="shared" si="7"/>
        <v>6599.5573921665591</v>
      </c>
      <c r="E95" s="10">
        <f t="shared" si="8"/>
        <v>792928.69937001099</v>
      </c>
      <c r="F95" s="10">
        <f t="shared" si="9"/>
        <v>274696.38899816957</v>
      </c>
    </row>
    <row r="96" spans="1:6">
      <c r="A96" s="7">
        <v>74</v>
      </c>
      <c r="B96" s="10">
        <f t="shared" si="5"/>
        <v>3303.8695807081922</v>
      </c>
      <c r="C96" s="10">
        <f t="shared" si="6"/>
        <v>3295.6878114583669</v>
      </c>
      <c r="D96" s="10">
        <f t="shared" si="7"/>
        <v>6599.5573921665591</v>
      </c>
      <c r="E96" s="10">
        <f t="shared" si="8"/>
        <v>789633.01155855262</v>
      </c>
      <c r="F96" s="10">
        <f t="shared" si="9"/>
        <v>278000.25857887778</v>
      </c>
    </row>
    <row r="97" spans="1:6">
      <c r="A97" s="7">
        <v>75</v>
      </c>
      <c r="B97" s="10">
        <f t="shared" si="5"/>
        <v>3290.1375481604873</v>
      </c>
      <c r="C97" s="10">
        <f t="shared" si="6"/>
        <v>3309.4198440060718</v>
      </c>
      <c r="D97" s="10">
        <f t="shared" si="7"/>
        <v>6599.5573921665591</v>
      </c>
      <c r="E97" s="10">
        <f t="shared" si="8"/>
        <v>786323.59171454655</v>
      </c>
      <c r="F97" s="10">
        <f t="shared" si="9"/>
        <v>281290.39612703829</v>
      </c>
    </row>
    <row r="98" spans="1:6">
      <c r="A98" s="7">
        <v>76</v>
      </c>
      <c r="B98" s="10">
        <f t="shared" si="5"/>
        <v>3276.3482988107526</v>
      </c>
      <c r="C98" s="10">
        <f t="shared" si="6"/>
        <v>3323.2090933558065</v>
      </c>
      <c r="D98" s="10">
        <f t="shared" si="7"/>
        <v>6599.5573921665591</v>
      </c>
      <c r="E98" s="10">
        <f t="shared" si="8"/>
        <v>783000.38262119074</v>
      </c>
      <c r="F98" s="10">
        <f t="shared" si="9"/>
        <v>284566.74442584906</v>
      </c>
    </row>
    <row r="99" spans="1:6">
      <c r="A99" s="7">
        <v>77</v>
      </c>
      <c r="B99" s="10">
        <f t="shared" si="5"/>
        <v>3262.5015942549608</v>
      </c>
      <c r="C99" s="10">
        <f t="shared" si="6"/>
        <v>3337.0557979115983</v>
      </c>
      <c r="D99" s="10">
        <f t="shared" si="7"/>
        <v>6599.5573921665591</v>
      </c>
      <c r="E99" s="10">
        <f t="shared" si="8"/>
        <v>779663.32682327915</v>
      </c>
      <c r="F99" s="10">
        <f t="shared" si="9"/>
        <v>287829.24602010404</v>
      </c>
    </row>
    <row r="100" spans="1:6">
      <c r="A100" s="7">
        <v>78</v>
      </c>
      <c r="B100" s="10">
        <f t="shared" si="5"/>
        <v>3248.5971950969933</v>
      </c>
      <c r="C100" s="10">
        <f t="shared" si="6"/>
        <v>3350.9601970695658</v>
      </c>
      <c r="D100" s="10">
        <f t="shared" si="7"/>
        <v>6599.5573921665591</v>
      </c>
      <c r="E100" s="10">
        <f t="shared" si="8"/>
        <v>776312.36662620958</v>
      </c>
      <c r="F100" s="10">
        <f t="shared" si="9"/>
        <v>291077.84321520105</v>
      </c>
    </row>
    <row r="101" spans="1:6">
      <c r="A101" s="7">
        <v>79</v>
      </c>
      <c r="B101" s="10">
        <f t="shared" si="5"/>
        <v>3234.6348609425868</v>
      </c>
      <c r="C101" s="10">
        <f t="shared" si="6"/>
        <v>3364.9225312239723</v>
      </c>
      <c r="D101" s="10">
        <f t="shared" si="7"/>
        <v>6599.5573921665591</v>
      </c>
      <c r="E101" s="10">
        <f t="shared" si="8"/>
        <v>772947.44409498561</v>
      </c>
      <c r="F101" s="10">
        <f t="shared" si="9"/>
        <v>294312.47807614366</v>
      </c>
    </row>
    <row r="102" spans="1:6">
      <c r="A102" s="7">
        <v>80</v>
      </c>
      <c r="B102" s="10">
        <f t="shared" si="5"/>
        <v>3220.6143503957237</v>
      </c>
      <c r="C102" s="10">
        <f t="shared" si="6"/>
        <v>3378.9430417708354</v>
      </c>
      <c r="D102" s="10">
        <f t="shared" si="7"/>
        <v>6599.5573921665591</v>
      </c>
      <c r="E102" s="10">
        <f t="shared" si="8"/>
        <v>769568.50105321477</v>
      </c>
      <c r="F102" s="10">
        <f t="shared" si="9"/>
        <v>297533.0924265394</v>
      </c>
    </row>
    <row r="103" spans="1:6">
      <c r="A103" s="7">
        <v>81</v>
      </c>
      <c r="B103" s="10">
        <f t="shared" si="5"/>
        <v>3206.5354210552568</v>
      </c>
      <c r="C103" s="10">
        <f t="shared" si="6"/>
        <v>3393.0219711113023</v>
      </c>
      <c r="D103" s="10">
        <f t="shared" si="7"/>
        <v>6599.5573921665591</v>
      </c>
      <c r="E103" s="10">
        <f t="shared" si="8"/>
        <v>766175.47908210347</v>
      </c>
      <c r="F103" s="10">
        <f t="shared" si="9"/>
        <v>300739.62784759467</v>
      </c>
    </row>
    <row r="104" spans="1:6">
      <c r="A104" s="7">
        <v>82</v>
      </c>
      <c r="B104" s="10">
        <f t="shared" si="5"/>
        <v>3192.3978295083898</v>
      </c>
      <c r="C104" s="10">
        <f t="shared" si="6"/>
        <v>3407.1595626581693</v>
      </c>
      <c r="D104" s="10">
        <f t="shared" si="7"/>
        <v>6599.5573921665591</v>
      </c>
      <c r="E104" s="10">
        <f t="shared" si="8"/>
        <v>762768.3195194453</v>
      </c>
      <c r="F104" s="10">
        <f t="shared" si="9"/>
        <v>303932.02567710308</v>
      </c>
    </row>
    <row r="105" spans="1:6">
      <c r="A105" s="7">
        <v>83</v>
      </c>
      <c r="B105" s="10">
        <f t="shared" si="5"/>
        <v>3178.2013313311427</v>
      </c>
      <c r="C105" s="10">
        <f t="shared" si="6"/>
        <v>3421.3560608354164</v>
      </c>
      <c r="D105" s="10">
        <f t="shared" si="7"/>
        <v>6599.5573921665591</v>
      </c>
      <c r="E105" s="10">
        <f t="shared" si="8"/>
        <v>759346.96345860988</v>
      </c>
      <c r="F105" s="10">
        <f t="shared" si="9"/>
        <v>307110.22700843425</v>
      </c>
    </row>
    <row r="106" spans="1:6">
      <c r="A106" s="7">
        <v>84</v>
      </c>
      <c r="B106" s="10">
        <f t="shared" si="5"/>
        <v>3163.9456810775255</v>
      </c>
      <c r="C106" s="10">
        <f t="shared" si="6"/>
        <v>3435.6117110890336</v>
      </c>
      <c r="D106" s="10">
        <f t="shared" si="7"/>
        <v>6599.5573921665591</v>
      </c>
      <c r="E106" s="10">
        <f t="shared" si="8"/>
        <v>755911.35174752085</v>
      </c>
      <c r="F106" s="10">
        <f t="shared" si="9"/>
        <v>310274.17268951179</v>
      </c>
    </row>
    <row r="107" spans="1:6">
      <c r="A107" s="7">
        <v>85</v>
      </c>
      <c r="B107" s="10">
        <f t="shared" si="5"/>
        <v>3149.6306322812843</v>
      </c>
      <c r="C107" s="10">
        <f t="shared" si="6"/>
        <v>3449.9267598852748</v>
      </c>
      <c r="D107" s="10">
        <f t="shared" si="7"/>
        <v>6599.5573921665591</v>
      </c>
      <c r="E107" s="10">
        <f t="shared" si="8"/>
        <v>752461.42498763558</v>
      </c>
      <c r="F107" s="10">
        <f t="shared" si="9"/>
        <v>313423.80332179309</v>
      </c>
    </row>
    <row r="108" spans="1:6">
      <c r="A108" s="7">
        <v>86</v>
      </c>
      <c r="B108" s="10">
        <f t="shared" si="5"/>
        <v>3135.2559374486837</v>
      </c>
      <c r="C108" s="10">
        <f t="shared" si="6"/>
        <v>3464.3014547178755</v>
      </c>
      <c r="D108" s="10">
        <f t="shared" si="7"/>
        <v>6599.5573921665591</v>
      </c>
      <c r="E108" s="10">
        <f t="shared" si="8"/>
        <v>748997.1235329177</v>
      </c>
      <c r="F108" s="10">
        <f t="shared" si="9"/>
        <v>316559.0592592418</v>
      </c>
    </row>
    <row r="109" spans="1:6">
      <c r="A109" s="7">
        <v>87</v>
      </c>
      <c r="B109" s="10">
        <f t="shared" si="5"/>
        <v>3120.8213480536169</v>
      </c>
      <c r="C109" s="10">
        <f t="shared" si="6"/>
        <v>3478.7360441129422</v>
      </c>
      <c r="D109" s="10">
        <f t="shared" si="7"/>
        <v>6599.5573921665591</v>
      </c>
      <c r="E109" s="10">
        <f t="shared" si="8"/>
        <v>745518.38748880476</v>
      </c>
      <c r="F109" s="10">
        <f t="shared" si="9"/>
        <v>319679.88060729543</v>
      </c>
    </row>
    <row r="110" spans="1:6">
      <c r="A110" s="7">
        <v>88</v>
      </c>
      <c r="B110" s="10">
        <f t="shared" si="5"/>
        <v>3106.3266145367916</v>
      </c>
      <c r="C110" s="10">
        <f t="shared" si="6"/>
        <v>3493.2307776297675</v>
      </c>
      <c r="D110" s="10">
        <f t="shared" si="7"/>
        <v>6599.5573921665591</v>
      </c>
      <c r="E110" s="10">
        <f t="shared" si="8"/>
        <v>742025.15671117499</v>
      </c>
      <c r="F110" s="10">
        <f t="shared" si="9"/>
        <v>322786.20722183224</v>
      </c>
    </row>
    <row r="111" spans="1:6">
      <c r="A111" s="7">
        <v>89</v>
      </c>
      <c r="B111" s="10">
        <f t="shared" si="5"/>
        <v>3091.7714862965322</v>
      </c>
      <c r="C111" s="10">
        <f t="shared" si="6"/>
        <v>3507.7859058700269</v>
      </c>
      <c r="D111" s="10">
        <f t="shared" si="7"/>
        <v>6599.5573921665591</v>
      </c>
      <c r="E111" s="10">
        <f t="shared" si="8"/>
        <v>738517.37080530496</v>
      </c>
      <c r="F111" s="10">
        <f t="shared" si="9"/>
        <v>325877.97870812879</v>
      </c>
    </row>
    <row r="112" spans="1:6">
      <c r="A112" s="7">
        <v>90</v>
      </c>
      <c r="B112" s="10">
        <f t="shared" si="5"/>
        <v>3077.1557116885479</v>
      </c>
      <c r="C112" s="10">
        <f t="shared" si="6"/>
        <v>3522.4016804780113</v>
      </c>
      <c r="D112" s="10">
        <f t="shared" si="7"/>
        <v>6599.5573921665591</v>
      </c>
      <c r="E112" s="10">
        <f t="shared" si="8"/>
        <v>734994.96912482695</v>
      </c>
      <c r="F112" s="10">
        <f t="shared" si="9"/>
        <v>328955.13441981736</v>
      </c>
    </row>
    <row r="113" spans="1:6">
      <c r="A113" s="7">
        <v>91</v>
      </c>
      <c r="B113" s="10">
        <f t="shared" si="5"/>
        <v>3062.479038020344</v>
      </c>
      <c r="C113" s="10">
        <f t="shared" si="6"/>
        <v>3537.0783541462151</v>
      </c>
      <c r="D113" s="10">
        <f t="shared" si="7"/>
        <v>6599.5573921665591</v>
      </c>
      <c r="E113" s="10">
        <f t="shared" si="8"/>
        <v>731457.89077068074</v>
      </c>
      <c r="F113" s="10">
        <f t="shared" si="9"/>
        <v>332017.61345783772</v>
      </c>
    </row>
    <row r="114" spans="1:6">
      <c r="A114" s="7">
        <v>92</v>
      </c>
      <c r="B114" s="10">
        <f t="shared" si="5"/>
        <v>3047.741211544354</v>
      </c>
      <c r="C114" s="10">
        <f t="shared" si="6"/>
        <v>3551.8161806222051</v>
      </c>
      <c r="D114" s="10">
        <f t="shared" si="7"/>
        <v>6599.5573921665591</v>
      </c>
      <c r="E114" s="10">
        <f t="shared" si="8"/>
        <v>727906.07459005853</v>
      </c>
      <c r="F114" s="10">
        <f t="shared" si="9"/>
        <v>335065.3546693821</v>
      </c>
    </row>
    <row r="115" spans="1:6">
      <c r="A115" s="7">
        <v>93</v>
      </c>
      <c r="B115" s="10">
        <f t="shared" si="5"/>
        <v>3032.9419774586377</v>
      </c>
      <c r="C115" s="10">
        <f t="shared" si="6"/>
        <v>3566.6154147079214</v>
      </c>
      <c r="D115" s="10">
        <f t="shared" si="7"/>
        <v>6599.5573921665591</v>
      </c>
      <c r="E115" s="10">
        <f t="shared" si="8"/>
        <v>724339.45917535061</v>
      </c>
      <c r="F115" s="10">
        <f t="shared" si="9"/>
        <v>338098.29664684075</v>
      </c>
    </row>
    <row r="116" spans="1:6">
      <c r="A116" s="7">
        <v>94</v>
      </c>
      <c r="B116" s="10">
        <f t="shared" si="5"/>
        <v>3018.0810798971024</v>
      </c>
      <c r="C116" s="10">
        <f t="shared" si="6"/>
        <v>3581.4763122694567</v>
      </c>
      <c r="D116" s="10">
        <f t="shared" si="7"/>
        <v>6599.5573921665591</v>
      </c>
      <c r="E116" s="10">
        <f t="shared" si="8"/>
        <v>720757.98286308115</v>
      </c>
      <c r="F116" s="10">
        <f t="shared" si="9"/>
        <v>341116.37772673788</v>
      </c>
    </row>
    <row r="117" spans="1:6">
      <c r="A117" s="7">
        <v>95</v>
      </c>
      <c r="B117" s="10">
        <f t="shared" si="5"/>
        <v>3003.1582619296196</v>
      </c>
      <c r="C117" s="10">
        <f t="shared" si="6"/>
        <v>3596.3991302369395</v>
      </c>
      <c r="D117" s="10">
        <f t="shared" si="7"/>
        <v>6599.5573921665591</v>
      </c>
      <c r="E117" s="10">
        <f t="shared" si="8"/>
        <v>717161.58373284421</v>
      </c>
      <c r="F117" s="10">
        <f t="shared" si="9"/>
        <v>344119.53598866751</v>
      </c>
    </row>
    <row r="118" spans="1:6">
      <c r="A118" s="7">
        <v>96</v>
      </c>
      <c r="B118" s="10">
        <f t="shared" si="5"/>
        <v>2988.1732655535261</v>
      </c>
      <c r="C118" s="10">
        <f t="shared" si="6"/>
        <v>3611.384126613033</v>
      </c>
      <c r="D118" s="10">
        <f t="shared" si="7"/>
        <v>6599.5573921665591</v>
      </c>
      <c r="E118" s="10">
        <f t="shared" si="8"/>
        <v>713550.19960623118</v>
      </c>
      <c r="F118" s="10">
        <f t="shared" si="9"/>
        <v>347107.70925422106</v>
      </c>
    </row>
    <row r="119" spans="1:6">
      <c r="A119" s="7">
        <v>97</v>
      </c>
      <c r="B119" s="10">
        <f t="shared" si="5"/>
        <v>2973.1258316928097</v>
      </c>
      <c r="C119" s="10">
        <f t="shared" si="6"/>
        <v>3626.4315604737494</v>
      </c>
      <c r="D119" s="10">
        <f t="shared" si="7"/>
        <v>6599.5573921665591</v>
      </c>
      <c r="E119" s="10">
        <f t="shared" si="8"/>
        <v>709923.76804575743</v>
      </c>
      <c r="F119" s="10">
        <f t="shared" si="9"/>
        <v>350080.83508591389</v>
      </c>
    </row>
    <row r="120" spans="1:6">
      <c r="A120" s="7">
        <v>98</v>
      </c>
      <c r="B120" s="10">
        <f t="shared" si="5"/>
        <v>2958.015700190309</v>
      </c>
      <c r="C120" s="10">
        <f t="shared" si="6"/>
        <v>3641.5416919762501</v>
      </c>
      <c r="D120" s="10">
        <f t="shared" si="7"/>
        <v>6599.5573921665591</v>
      </c>
      <c r="E120" s="10">
        <f t="shared" si="8"/>
        <v>706282.22635378118</v>
      </c>
      <c r="F120" s="10">
        <f t="shared" si="9"/>
        <v>353038.85078610422</v>
      </c>
    </row>
    <row r="121" spans="1:6">
      <c r="A121" s="7">
        <v>99</v>
      </c>
      <c r="B121" s="10">
        <f t="shared" si="5"/>
        <v>2942.8426098073642</v>
      </c>
      <c r="C121" s="10">
        <f t="shared" si="6"/>
        <v>3656.7147823591949</v>
      </c>
      <c r="D121" s="10">
        <f t="shared" si="7"/>
        <v>6599.5573921665591</v>
      </c>
      <c r="E121" s="10">
        <f t="shared" si="8"/>
        <v>702625.51157142199</v>
      </c>
      <c r="F121" s="10">
        <f t="shared" si="9"/>
        <v>355981.6933959116</v>
      </c>
    </row>
    <row r="122" spans="1:6">
      <c r="A122" s="7">
        <v>100</v>
      </c>
      <c r="B122" s="10">
        <f t="shared" si="5"/>
        <v>2927.6062982143876</v>
      </c>
      <c r="C122" s="10">
        <f t="shared" si="6"/>
        <v>3671.9510939521715</v>
      </c>
      <c r="D122" s="10">
        <f t="shared" si="7"/>
        <v>6599.5573921665591</v>
      </c>
      <c r="E122" s="10">
        <f t="shared" si="8"/>
        <v>698953.56047746981</v>
      </c>
      <c r="F122" s="10">
        <f t="shared" si="9"/>
        <v>358909.29969412601</v>
      </c>
    </row>
    <row r="123" spans="1:6">
      <c r="A123" s="7">
        <v>101</v>
      </c>
      <c r="B123" s="10">
        <f t="shared" si="5"/>
        <v>2912.3065019892338</v>
      </c>
      <c r="C123" s="10">
        <f t="shared" si="6"/>
        <v>3687.2508901773253</v>
      </c>
      <c r="D123" s="10">
        <f t="shared" si="7"/>
        <v>6599.5573921665591</v>
      </c>
      <c r="E123" s="10">
        <f t="shared" si="8"/>
        <v>695266.30958729249</v>
      </c>
      <c r="F123" s="10">
        <f t="shared" si="9"/>
        <v>361821.60619611526</v>
      </c>
    </row>
    <row r="124" spans="1:6">
      <c r="A124" s="7">
        <v>102</v>
      </c>
      <c r="B124" s="10">
        <f t="shared" si="5"/>
        <v>2896.9429566140561</v>
      </c>
      <c r="C124" s="10">
        <f t="shared" si="6"/>
        <v>3702.614435552503</v>
      </c>
      <c r="D124" s="10">
        <f t="shared" si="7"/>
        <v>6599.5573921665591</v>
      </c>
      <c r="E124" s="10">
        <f t="shared" si="8"/>
        <v>691563.69515173999</v>
      </c>
      <c r="F124" s="10">
        <f t="shared" si="9"/>
        <v>364718.54915272933</v>
      </c>
    </row>
    <row r="125" spans="1:6">
      <c r="A125" s="7">
        <v>103</v>
      </c>
      <c r="B125" s="10">
        <f t="shared" si="5"/>
        <v>2881.5153964654119</v>
      </c>
      <c r="C125" s="10">
        <f t="shared" si="6"/>
        <v>3718.0419957011472</v>
      </c>
      <c r="D125" s="10">
        <f t="shared" si="7"/>
        <v>6599.5573921665591</v>
      </c>
      <c r="E125" s="10">
        <f t="shared" si="8"/>
        <v>687845.65315603884</v>
      </c>
      <c r="F125" s="10">
        <f t="shared" si="9"/>
        <v>367600.06454919477</v>
      </c>
    </row>
    <row r="126" spans="1:6">
      <c r="A126" s="7">
        <v>104</v>
      </c>
      <c r="B126" s="10">
        <f t="shared" si="5"/>
        <v>2866.023554816823</v>
      </c>
      <c r="C126" s="10">
        <f t="shared" si="6"/>
        <v>3733.5338373497361</v>
      </c>
      <c r="D126" s="10">
        <f t="shared" si="7"/>
        <v>6599.5573921665591</v>
      </c>
      <c r="E126" s="10">
        <f t="shared" si="8"/>
        <v>684112.1193186891</v>
      </c>
      <c r="F126" s="10">
        <f t="shared" si="9"/>
        <v>370466.08810401161</v>
      </c>
    </row>
    <row r="127" spans="1:6">
      <c r="A127" s="7">
        <v>105</v>
      </c>
      <c r="B127" s="10">
        <f t="shared" si="5"/>
        <v>2850.4671638280661</v>
      </c>
      <c r="C127" s="10">
        <f t="shared" si="6"/>
        <v>3749.090228338493</v>
      </c>
      <c r="D127" s="10">
        <f t="shared" si="7"/>
        <v>6599.5573921665591</v>
      </c>
      <c r="E127" s="10">
        <f t="shared" si="8"/>
        <v>680363.02909035061</v>
      </c>
      <c r="F127" s="10">
        <f t="shared" si="9"/>
        <v>373316.55526783969</v>
      </c>
    </row>
    <row r="128" spans="1:6">
      <c r="A128" s="7">
        <v>106</v>
      </c>
      <c r="B128" s="10">
        <f t="shared" si="5"/>
        <v>2834.8459545428441</v>
      </c>
      <c r="C128" s="10">
        <f t="shared" si="6"/>
        <v>3764.711437623715</v>
      </c>
      <c r="D128" s="10">
        <f t="shared" si="7"/>
        <v>6599.5573921665591</v>
      </c>
      <c r="E128" s="10">
        <f t="shared" si="8"/>
        <v>676598.3176527269</v>
      </c>
      <c r="F128" s="10">
        <f t="shared" si="9"/>
        <v>376151.40122238256</v>
      </c>
    </row>
    <row r="129" spans="1:6">
      <c r="A129" s="7">
        <v>107</v>
      </c>
      <c r="B129" s="10">
        <f t="shared" si="5"/>
        <v>2819.1596568863415</v>
      </c>
      <c r="C129" s="10">
        <f t="shared" si="6"/>
        <v>3780.3977352802176</v>
      </c>
      <c r="D129" s="10">
        <f t="shared" si="7"/>
        <v>6599.5573921665591</v>
      </c>
      <c r="E129" s="10">
        <f t="shared" si="8"/>
        <v>672817.91991744668</v>
      </c>
      <c r="F129" s="10">
        <f t="shared" si="9"/>
        <v>378970.56087926892</v>
      </c>
    </row>
    <row r="130" spans="1:6">
      <c r="A130" s="7">
        <v>108</v>
      </c>
      <c r="B130" s="10">
        <f t="shared" si="5"/>
        <v>2803.4079996561441</v>
      </c>
      <c r="C130" s="10">
        <f t="shared" si="6"/>
        <v>3796.1493925104151</v>
      </c>
      <c r="D130" s="10">
        <f t="shared" si="7"/>
        <v>6599.5573921665591</v>
      </c>
      <c r="E130" s="10">
        <f t="shared" si="8"/>
        <v>669021.77052493626</v>
      </c>
      <c r="F130" s="10">
        <f t="shared" si="9"/>
        <v>381773.96887892508</v>
      </c>
    </row>
    <row r="131" spans="1:6">
      <c r="A131" s="7">
        <v>109</v>
      </c>
      <c r="B131" s="10">
        <f t="shared" si="5"/>
        <v>2787.5907105206088</v>
      </c>
      <c r="C131" s="10">
        <f t="shared" si="6"/>
        <v>3811.9666816459503</v>
      </c>
      <c r="D131" s="10">
        <f t="shared" si="7"/>
        <v>6599.5573921665591</v>
      </c>
      <c r="E131" s="10">
        <f t="shared" si="8"/>
        <v>665209.80384329031</v>
      </c>
      <c r="F131" s="10">
        <f t="shared" si="9"/>
        <v>384561.55958944571</v>
      </c>
    </row>
    <row r="132" spans="1:6">
      <c r="A132" s="7">
        <v>110</v>
      </c>
      <c r="B132" s="10">
        <f t="shared" si="5"/>
        <v>2771.7075160135091</v>
      </c>
      <c r="C132" s="10">
        <f t="shared" si="6"/>
        <v>3827.84987615305</v>
      </c>
      <c r="D132" s="10">
        <f t="shared" si="7"/>
        <v>6599.5573921665591</v>
      </c>
      <c r="E132" s="10">
        <f t="shared" si="8"/>
        <v>661381.95396713726</v>
      </c>
      <c r="F132" s="10">
        <f t="shared" si="9"/>
        <v>387333.26710545924</v>
      </c>
    </row>
    <row r="133" spans="1:6">
      <c r="A133" s="7">
        <v>111</v>
      </c>
      <c r="B133" s="10">
        <f t="shared" si="5"/>
        <v>2755.7581415297273</v>
      </c>
      <c r="C133" s="10">
        <f t="shared" si="6"/>
        <v>3843.7992506368319</v>
      </c>
      <c r="D133" s="10">
        <f t="shared" si="7"/>
        <v>6599.5573921665591</v>
      </c>
      <c r="E133" s="10">
        <f t="shared" si="8"/>
        <v>657538.15471650043</v>
      </c>
      <c r="F133" s="10">
        <f t="shared" si="9"/>
        <v>390089.02524698898</v>
      </c>
    </row>
    <row r="134" spans="1:6">
      <c r="A134" s="7">
        <v>112</v>
      </c>
      <c r="B134" s="10">
        <f t="shared" si="5"/>
        <v>2739.7423113187351</v>
      </c>
      <c r="C134" s="10">
        <f t="shared" si="6"/>
        <v>3859.815080847824</v>
      </c>
      <c r="D134" s="10">
        <f t="shared" si="7"/>
        <v>6599.5573921665591</v>
      </c>
      <c r="E134" s="10">
        <f t="shared" si="8"/>
        <v>653678.33963565261</v>
      </c>
      <c r="F134" s="10">
        <f t="shared" si="9"/>
        <v>392828.76755830774</v>
      </c>
    </row>
    <row r="135" spans="1:6">
      <c r="A135" s="7">
        <v>113</v>
      </c>
      <c r="B135" s="10">
        <f t="shared" si="5"/>
        <v>2723.6597484823824</v>
      </c>
      <c r="C135" s="10">
        <f t="shared" si="6"/>
        <v>3875.8976436841767</v>
      </c>
      <c r="D135" s="10">
        <f t="shared" si="7"/>
        <v>6599.5573921665591</v>
      </c>
      <c r="E135" s="10">
        <f t="shared" si="8"/>
        <v>649802.44199196843</v>
      </c>
      <c r="F135" s="10">
        <f t="shared" si="9"/>
        <v>395552.42730679014</v>
      </c>
    </row>
    <row r="136" spans="1:6">
      <c r="A136" s="7">
        <v>114</v>
      </c>
      <c r="B136" s="10">
        <f t="shared" si="5"/>
        <v>2707.5101749659325</v>
      </c>
      <c r="C136" s="10">
        <f t="shared" si="6"/>
        <v>3892.0472172006266</v>
      </c>
      <c r="D136" s="10">
        <f t="shared" si="7"/>
        <v>6599.5573921665591</v>
      </c>
      <c r="E136" s="10">
        <f t="shared" si="8"/>
        <v>645910.3947747678</v>
      </c>
      <c r="F136" s="10">
        <f t="shared" si="9"/>
        <v>398259.93748175609</v>
      </c>
    </row>
    <row r="137" spans="1:6">
      <c r="A137" s="7">
        <v>115</v>
      </c>
      <c r="B137" s="10">
        <f t="shared" si="5"/>
        <v>2691.2933115616715</v>
      </c>
      <c r="C137" s="10">
        <f t="shared" si="6"/>
        <v>3908.2640806048876</v>
      </c>
      <c r="D137" s="10">
        <f t="shared" si="7"/>
        <v>6599.5573921665591</v>
      </c>
      <c r="E137" s="10">
        <f t="shared" si="8"/>
        <v>642002.13069416292</v>
      </c>
      <c r="F137" s="10">
        <f t="shared" si="9"/>
        <v>400951.23079331778</v>
      </c>
    </row>
    <row r="138" spans="1:6">
      <c r="A138" s="7">
        <v>116</v>
      </c>
      <c r="B138" s="10">
        <f t="shared" si="5"/>
        <v>2675.0088778923773</v>
      </c>
      <c r="C138" s="10">
        <f t="shared" si="6"/>
        <v>3924.5485142741818</v>
      </c>
      <c r="D138" s="10">
        <f t="shared" si="7"/>
        <v>6599.5573921665591</v>
      </c>
      <c r="E138" s="10">
        <f t="shared" si="8"/>
        <v>638077.58217988873</v>
      </c>
      <c r="F138" s="10">
        <f t="shared" si="9"/>
        <v>403626.23967121018</v>
      </c>
    </row>
    <row r="139" spans="1:6">
      <c r="A139" s="7">
        <v>117</v>
      </c>
      <c r="B139" s="10">
        <f t="shared" si="5"/>
        <v>2658.6565924162087</v>
      </c>
      <c r="C139" s="10">
        <f t="shared" si="6"/>
        <v>3940.9007997503504</v>
      </c>
      <c r="D139" s="10">
        <f t="shared" si="7"/>
        <v>6599.5573921665591</v>
      </c>
      <c r="E139" s="10">
        <f t="shared" si="8"/>
        <v>634136.68138013838</v>
      </c>
      <c r="F139" s="10">
        <f t="shared" si="9"/>
        <v>406284.8962636264</v>
      </c>
    </row>
    <row r="140" spans="1:6">
      <c r="A140" s="7">
        <v>118</v>
      </c>
      <c r="B140" s="10">
        <f t="shared" si="5"/>
        <v>2642.2361724173925</v>
      </c>
      <c r="C140" s="10">
        <f t="shared" si="6"/>
        <v>3957.3212197491666</v>
      </c>
      <c r="D140" s="10">
        <f t="shared" si="7"/>
        <v>6599.5573921665591</v>
      </c>
      <c r="E140" s="10">
        <f t="shared" si="8"/>
        <v>630179.36016038922</v>
      </c>
      <c r="F140" s="10">
        <f t="shared" si="9"/>
        <v>408927.13243604382</v>
      </c>
    </row>
    <row r="141" spans="1:6">
      <c r="A141" s="7">
        <v>119</v>
      </c>
      <c r="B141" s="10">
        <f t="shared" si="5"/>
        <v>2625.7473340012175</v>
      </c>
      <c r="C141" s="10">
        <f t="shared" si="6"/>
        <v>3973.8100581653416</v>
      </c>
      <c r="D141" s="10">
        <f t="shared" si="7"/>
        <v>6599.5573921665591</v>
      </c>
      <c r="E141" s="10">
        <f t="shared" si="8"/>
        <v>626205.55010222388</v>
      </c>
      <c r="F141" s="10">
        <f t="shared" si="9"/>
        <v>411552.87977004505</v>
      </c>
    </row>
    <row r="142" spans="1:6">
      <c r="A142" s="7">
        <v>120</v>
      </c>
      <c r="B142" s="10">
        <f t="shared" si="5"/>
        <v>2609.189792092754</v>
      </c>
      <c r="C142" s="10">
        <f t="shared" si="6"/>
        <v>3990.3676000738051</v>
      </c>
      <c r="D142" s="10">
        <f t="shared" si="7"/>
        <v>6599.5573921665591</v>
      </c>
      <c r="E142" s="10">
        <f t="shared" si="8"/>
        <v>622215.18250215007</v>
      </c>
      <c r="F142" s="10">
        <f t="shared" si="9"/>
        <v>414162.06956213783</v>
      </c>
    </row>
    <row r="143" spans="1:6">
      <c r="A143" s="7">
        <v>121</v>
      </c>
      <c r="B143" s="10">
        <f t="shared" si="5"/>
        <v>2592.5632604259108</v>
      </c>
      <c r="C143" s="10">
        <f t="shared" si="6"/>
        <v>4006.9941317406483</v>
      </c>
      <c r="D143" s="10">
        <f t="shared" si="7"/>
        <v>6599.5573921665591</v>
      </c>
      <c r="E143" s="10">
        <f t="shared" si="8"/>
        <v>618208.18837040942</v>
      </c>
      <c r="F143" s="10">
        <f t="shared" si="9"/>
        <v>416754.63282256376</v>
      </c>
    </row>
    <row r="144" spans="1:6">
      <c r="A144" s="7">
        <v>122</v>
      </c>
      <c r="B144" s="10">
        <f t="shared" si="5"/>
        <v>2575.8674515430857</v>
      </c>
      <c r="C144" s="10">
        <f t="shared" si="6"/>
        <v>4023.6899406234734</v>
      </c>
      <c r="D144" s="10">
        <f t="shared" si="7"/>
        <v>6599.5573921665591</v>
      </c>
      <c r="E144" s="10">
        <f t="shared" si="8"/>
        <v>614184.49842978595</v>
      </c>
      <c r="F144" s="10">
        <f t="shared" si="9"/>
        <v>419330.50027410686</v>
      </c>
    </row>
    <row r="145" spans="1:6">
      <c r="A145" s="7">
        <v>123</v>
      </c>
      <c r="B145" s="10">
        <f t="shared" si="5"/>
        <v>2559.1020767907421</v>
      </c>
      <c r="C145" s="10">
        <f t="shared" si="6"/>
        <v>4040.455315375817</v>
      </c>
      <c r="D145" s="10">
        <f t="shared" si="7"/>
        <v>6599.5573921665591</v>
      </c>
      <c r="E145" s="10">
        <f t="shared" si="8"/>
        <v>610144.04311441013</v>
      </c>
      <c r="F145" s="10">
        <f t="shared" si="9"/>
        <v>421889.60235089762</v>
      </c>
    </row>
    <row r="146" spans="1:6">
      <c r="A146" s="7">
        <v>124</v>
      </c>
      <c r="B146" s="10">
        <f t="shared" si="5"/>
        <v>2542.2668463102118</v>
      </c>
      <c r="C146" s="10">
        <f t="shared" si="6"/>
        <v>4057.2905458563473</v>
      </c>
      <c r="D146" s="10">
        <f t="shared" si="7"/>
        <v>6599.5573921665591</v>
      </c>
      <c r="E146" s="10">
        <f t="shared" si="8"/>
        <v>606086.75256855378</v>
      </c>
      <c r="F146" s="10">
        <f t="shared" si="9"/>
        <v>424431.86919720785</v>
      </c>
    </row>
    <row r="147" spans="1:6">
      <c r="A147" s="7">
        <v>125</v>
      </c>
      <c r="B147" s="10">
        <f t="shared" si="5"/>
        <v>2525.3614690354834</v>
      </c>
      <c r="C147" s="10">
        <f t="shared" si="6"/>
        <v>4074.1959231310757</v>
      </c>
      <c r="D147" s="10">
        <f t="shared" si="7"/>
        <v>6599.5573921665591</v>
      </c>
      <c r="E147" s="10">
        <f t="shared" si="8"/>
        <v>602012.55664542271</v>
      </c>
      <c r="F147" s="10">
        <f t="shared" si="9"/>
        <v>426957.23066624335</v>
      </c>
    </row>
    <row r="148" spans="1:6">
      <c r="A148" s="7">
        <v>126</v>
      </c>
      <c r="B148" s="10">
        <f t="shared" si="5"/>
        <v>2508.3856526891277</v>
      </c>
      <c r="C148" s="10">
        <f t="shared" si="6"/>
        <v>4091.1717394774314</v>
      </c>
      <c r="D148" s="10">
        <f t="shared" si="7"/>
        <v>6599.5573921665591</v>
      </c>
      <c r="E148" s="10">
        <f t="shared" si="8"/>
        <v>597921.38490594528</v>
      </c>
      <c r="F148" s="10">
        <f t="shared" si="9"/>
        <v>429465.6163189325</v>
      </c>
    </row>
    <row r="149" spans="1:6">
      <c r="A149" s="7">
        <v>127</v>
      </c>
      <c r="B149" s="10">
        <f t="shared" si="5"/>
        <v>2491.3391037747306</v>
      </c>
      <c r="C149" s="10">
        <f t="shared" si="6"/>
        <v>4108.2182883918285</v>
      </c>
      <c r="D149" s="10">
        <f t="shared" si="7"/>
        <v>6599.5573921665591</v>
      </c>
      <c r="E149" s="10">
        <f t="shared" si="8"/>
        <v>593813.16661755345</v>
      </c>
      <c r="F149" s="10">
        <f t="shared" si="9"/>
        <v>431956.95542270725</v>
      </c>
    </row>
    <row r="150" spans="1:6">
      <c r="A150" s="7">
        <v>128</v>
      </c>
      <c r="B150" s="10">
        <f t="shared" si="5"/>
        <v>2474.2215275732842</v>
      </c>
      <c r="C150" s="10">
        <f t="shared" si="6"/>
        <v>4125.3358645932749</v>
      </c>
      <c r="D150" s="10">
        <f t="shared" si="7"/>
        <v>6599.5573921665591</v>
      </c>
      <c r="E150" s="10">
        <f t="shared" si="8"/>
        <v>589687.83075296017</v>
      </c>
      <c r="F150" s="10">
        <f t="shared" si="9"/>
        <v>434431.17695028055</v>
      </c>
    </row>
    <row r="151" spans="1:6">
      <c r="A151" s="7">
        <v>129</v>
      </c>
      <c r="B151" s="10">
        <f t="shared" ref="B151:B214" si="10">IF(E151&lt;0,NA(),D151-C151)</f>
        <v>2457.0326281373664</v>
      </c>
      <c r="C151" s="10">
        <f t="shared" ref="C151:C214" si="11">IF(E151&lt;0,NA(),E150-E151)</f>
        <v>4142.5247640291927</v>
      </c>
      <c r="D151" s="10">
        <f t="shared" ref="D151:D214" si="12">IF(A151&lt;=$J$26,$F$12,NA())</f>
        <v>6599.5573921665591</v>
      </c>
      <c r="E151" s="10">
        <f t="shared" ref="E151:E214" si="13">IF(A151&lt;=$J$26,PV($J$24,IF($D$15=1,$J$25-A151,$J$25-A151*$D$12),-IF($D$15=1,D151,D151/$D$12)),NA())</f>
        <v>585545.30598893098</v>
      </c>
      <c r="F151" s="10">
        <f t="shared" ref="F151:F214" si="14">IF(E151&lt;0,NA(),B151+F150)</f>
        <v>436888.20957841794</v>
      </c>
    </row>
    <row r="152" spans="1:6">
      <c r="A152" s="7">
        <v>130</v>
      </c>
      <c r="B152" s="10">
        <f t="shared" si="10"/>
        <v>2439.7721082869493</v>
      </c>
      <c r="C152" s="10">
        <f t="shared" si="11"/>
        <v>4159.7852838796098</v>
      </c>
      <c r="D152" s="10">
        <f t="shared" si="12"/>
        <v>6599.5573921665591</v>
      </c>
      <c r="E152" s="10">
        <f t="shared" si="13"/>
        <v>581385.52070505137</v>
      </c>
      <c r="F152" s="10">
        <f t="shared" si="14"/>
        <v>439327.98168670491</v>
      </c>
    </row>
    <row r="153" spans="1:6">
      <c r="A153" s="7">
        <v>131</v>
      </c>
      <c r="B153" s="10">
        <f t="shared" si="10"/>
        <v>2422.4396696043941</v>
      </c>
      <c r="C153" s="10">
        <f t="shared" si="11"/>
        <v>4177.117722562165</v>
      </c>
      <c r="D153" s="10">
        <f t="shared" si="12"/>
        <v>6599.5573921665591</v>
      </c>
      <c r="E153" s="10">
        <f t="shared" si="13"/>
        <v>577208.40298248921</v>
      </c>
      <c r="F153" s="10">
        <f t="shared" si="14"/>
        <v>441750.42135630932</v>
      </c>
    </row>
    <row r="154" spans="1:6">
      <c r="A154" s="7">
        <v>132</v>
      </c>
      <c r="B154" s="10">
        <f t="shared" si="10"/>
        <v>2405.0350124271163</v>
      </c>
      <c r="C154" s="10">
        <f t="shared" si="11"/>
        <v>4194.5223797394428</v>
      </c>
      <c r="D154" s="10">
        <f t="shared" si="12"/>
        <v>6599.5573921665591</v>
      </c>
      <c r="E154" s="10">
        <f t="shared" si="13"/>
        <v>573013.88060274976</v>
      </c>
      <c r="F154" s="10">
        <f t="shared" si="14"/>
        <v>444155.45636873646</v>
      </c>
    </row>
    <row r="155" spans="1:6">
      <c r="A155" s="7">
        <v>133</v>
      </c>
      <c r="B155" s="10">
        <f t="shared" si="10"/>
        <v>2387.557835844792</v>
      </c>
      <c r="C155" s="10">
        <f t="shared" si="11"/>
        <v>4211.9995563217672</v>
      </c>
      <c r="D155" s="10">
        <f t="shared" si="12"/>
        <v>6599.5573921665591</v>
      </c>
      <c r="E155" s="10">
        <f t="shared" si="13"/>
        <v>568801.881046428</v>
      </c>
      <c r="F155" s="10">
        <f t="shared" si="14"/>
        <v>446543.01420458127</v>
      </c>
    </row>
    <row r="156" spans="1:6">
      <c r="A156" s="7">
        <v>134</v>
      </c>
      <c r="B156" s="10">
        <f t="shared" si="10"/>
        <v>2370.0078376936535</v>
      </c>
      <c r="C156" s="10">
        <f t="shared" si="11"/>
        <v>4229.5495544729056</v>
      </c>
      <c r="D156" s="10">
        <f t="shared" si="12"/>
        <v>6599.5573921665591</v>
      </c>
      <c r="E156" s="10">
        <f t="shared" si="13"/>
        <v>564572.33149195509</v>
      </c>
      <c r="F156" s="10">
        <f t="shared" si="14"/>
        <v>448913.02204227494</v>
      </c>
    </row>
    <row r="157" spans="1:6">
      <c r="A157" s="7">
        <v>135</v>
      </c>
      <c r="B157" s="10">
        <f t="shared" si="10"/>
        <v>2352.3847145493883</v>
      </c>
      <c r="C157" s="10">
        <f t="shared" si="11"/>
        <v>4247.1726776171708</v>
      </c>
      <c r="D157" s="10">
        <f t="shared" si="12"/>
        <v>6599.5573921665591</v>
      </c>
      <c r="E157" s="10">
        <f t="shared" si="13"/>
        <v>560325.15881433792</v>
      </c>
      <c r="F157" s="10">
        <f t="shared" si="14"/>
        <v>451265.40675682435</v>
      </c>
    </row>
    <row r="158" spans="1:6">
      <c r="A158" s="7">
        <v>136</v>
      </c>
      <c r="B158" s="10">
        <f t="shared" si="10"/>
        <v>2334.6881617265562</v>
      </c>
      <c r="C158" s="10">
        <f t="shared" si="11"/>
        <v>4264.8692304400029</v>
      </c>
      <c r="D158" s="10">
        <f t="shared" si="12"/>
        <v>6599.5573921665591</v>
      </c>
      <c r="E158" s="10">
        <f t="shared" si="13"/>
        <v>556060.28958389792</v>
      </c>
      <c r="F158" s="10">
        <f t="shared" si="14"/>
        <v>453600.09491855092</v>
      </c>
    </row>
    <row r="159" spans="1:6">
      <c r="A159" s="7">
        <v>137</v>
      </c>
      <c r="B159" s="10">
        <f t="shared" si="10"/>
        <v>2316.9178732664832</v>
      </c>
      <c r="C159" s="10">
        <f t="shared" si="11"/>
        <v>4282.6395189000759</v>
      </c>
      <c r="D159" s="10">
        <f t="shared" si="12"/>
        <v>6599.5573921665591</v>
      </c>
      <c r="E159" s="10">
        <f t="shared" si="13"/>
        <v>551777.65006499784</v>
      </c>
      <c r="F159" s="10">
        <f t="shared" si="14"/>
        <v>455917.01279181743</v>
      </c>
    </row>
    <row r="160" spans="1:6">
      <c r="A160" s="7">
        <v>138</v>
      </c>
      <c r="B160" s="10">
        <f t="shared" si="10"/>
        <v>2299.0735419372604</v>
      </c>
      <c r="C160" s="10">
        <f t="shared" si="11"/>
        <v>4300.4838502292987</v>
      </c>
      <c r="D160" s="10">
        <f t="shared" si="12"/>
        <v>6599.5573921665591</v>
      </c>
      <c r="E160" s="10">
        <f t="shared" si="13"/>
        <v>547477.16621476854</v>
      </c>
      <c r="F160" s="10">
        <f t="shared" si="14"/>
        <v>458216.08633375471</v>
      </c>
    </row>
    <row r="161" spans="1:6">
      <c r="A161" s="7">
        <v>139</v>
      </c>
      <c r="B161" s="10">
        <f t="shared" si="10"/>
        <v>2281.1548592280406</v>
      </c>
      <c r="C161" s="10">
        <f t="shared" si="11"/>
        <v>4318.4025329385186</v>
      </c>
      <c r="D161" s="10">
        <f t="shared" si="12"/>
        <v>6599.5573921665591</v>
      </c>
      <c r="E161" s="10">
        <f t="shared" si="13"/>
        <v>543158.76368183002</v>
      </c>
      <c r="F161" s="10">
        <f t="shared" si="14"/>
        <v>460497.24119298276</v>
      </c>
    </row>
    <row r="162" spans="1:6">
      <c r="A162" s="7">
        <v>140</v>
      </c>
      <c r="B162" s="10">
        <f t="shared" si="10"/>
        <v>2263.1615153410048</v>
      </c>
      <c r="C162" s="10">
        <f t="shared" si="11"/>
        <v>4336.3958768255543</v>
      </c>
      <c r="D162" s="10">
        <f t="shared" si="12"/>
        <v>6599.5573921665591</v>
      </c>
      <c r="E162" s="10">
        <f t="shared" si="13"/>
        <v>538822.36780500447</v>
      </c>
      <c r="F162" s="10">
        <f t="shared" si="14"/>
        <v>462760.40270832379</v>
      </c>
    </row>
    <row r="163" spans="1:6">
      <c r="A163" s="7">
        <v>141</v>
      </c>
      <c r="B163" s="10">
        <f t="shared" si="10"/>
        <v>2245.0931991877542</v>
      </c>
      <c r="C163" s="10">
        <f t="shared" si="11"/>
        <v>4354.4641929788049</v>
      </c>
      <c r="D163" s="10">
        <f t="shared" si="12"/>
        <v>6599.5573921665591</v>
      </c>
      <c r="E163" s="10">
        <f t="shared" si="13"/>
        <v>534467.90361202566</v>
      </c>
      <c r="F163" s="10">
        <f t="shared" si="14"/>
        <v>465005.49590751156</v>
      </c>
    </row>
    <row r="164" spans="1:6">
      <c r="A164" s="7">
        <v>142</v>
      </c>
      <c r="B164" s="10">
        <f t="shared" si="10"/>
        <v>2226.9495983831393</v>
      </c>
      <c r="C164" s="10">
        <f t="shared" si="11"/>
        <v>4372.6077937834198</v>
      </c>
      <c r="D164" s="10">
        <f t="shared" si="12"/>
        <v>6599.5573921665591</v>
      </c>
      <c r="E164" s="10">
        <f t="shared" si="13"/>
        <v>530095.29581824224</v>
      </c>
      <c r="F164" s="10">
        <f t="shared" si="14"/>
        <v>467232.44550589472</v>
      </c>
    </row>
    <row r="165" spans="1:6">
      <c r="A165" s="7">
        <v>143</v>
      </c>
      <c r="B165" s="10">
        <f t="shared" si="10"/>
        <v>2208.730399242816</v>
      </c>
      <c r="C165" s="10">
        <f t="shared" si="11"/>
        <v>4390.8269929237431</v>
      </c>
      <c r="D165" s="10">
        <f t="shared" si="12"/>
        <v>6599.5573921665591</v>
      </c>
      <c r="E165" s="10">
        <f t="shared" si="13"/>
        <v>525704.4688253185</v>
      </c>
      <c r="F165" s="10">
        <f t="shared" si="14"/>
        <v>469441.17590513756</v>
      </c>
    </row>
    <row r="166" spans="1:6">
      <c r="A166" s="7">
        <v>144</v>
      </c>
      <c r="B166" s="10">
        <f t="shared" si="10"/>
        <v>2190.435286772069</v>
      </c>
      <c r="C166" s="10">
        <f t="shared" si="11"/>
        <v>4409.1221053944901</v>
      </c>
      <c r="D166" s="10">
        <f t="shared" si="12"/>
        <v>6599.5573921665591</v>
      </c>
      <c r="E166" s="10">
        <f t="shared" si="13"/>
        <v>521295.34671992401</v>
      </c>
      <c r="F166" s="10">
        <f t="shared" si="14"/>
        <v>471631.61119190964</v>
      </c>
    </row>
    <row r="167" spans="1:6">
      <c r="A167" s="7">
        <v>145</v>
      </c>
      <c r="B167" s="10">
        <f t="shared" si="10"/>
        <v>2172.0639446667437</v>
      </c>
      <c r="C167" s="10">
        <f t="shared" si="11"/>
        <v>4427.4934474998154</v>
      </c>
      <c r="D167" s="10">
        <f t="shared" si="12"/>
        <v>6599.5573921665591</v>
      </c>
      <c r="E167" s="10">
        <f t="shared" si="13"/>
        <v>516867.8532724242</v>
      </c>
      <c r="F167" s="10">
        <f t="shared" si="14"/>
        <v>473803.67513657641</v>
      </c>
    </row>
    <row r="168" spans="1:6">
      <c r="A168" s="7">
        <v>146</v>
      </c>
      <c r="B168" s="10">
        <f t="shared" si="10"/>
        <v>2153.6160553011969</v>
      </c>
      <c r="C168" s="10">
        <f t="shared" si="11"/>
        <v>4445.9413368653622</v>
      </c>
      <c r="D168" s="10">
        <f t="shared" si="12"/>
        <v>6599.5573921665591</v>
      </c>
      <c r="E168" s="10">
        <f t="shared" si="13"/>
        <v>512421.91193555883</v>
      </c>
      <c r="F168" s="10">
        <f t="shared" si="14"/>
        <v>475957.29119187762</v>
      </c>
    </row>
    <row r="169" spans="1:6">
      <c r="A169" s="7">
        <v>147</v>
      </c>
      <c r="B169" s="10">
        <f t="shared" si="10"/>
        <v>2135.0912997314981</v>
      </c>
      <c r="C169" s="10">
        <f t="shared" si="11"/>
        <v>4464.466092435061</v>
      </c>
      <c r="D169" s="10">
        <f t="shared" si="12"/>
        <v>6599.5573921665591</v>
      </c>
      <c r="E169" s="10">
        <f t="shared" si="13"/>
        <v>507957.44584312377</v>
      </c>
      <c r="F169" s="10">
        <f t="shared" si="14"/>
        <v>478092.38249160914</v>
      </c>
    </row>
    <row r="170" spans="1:6">
      <c r="A170" s="7">
        <v>148</v>
      </c>
      <c r="B170" s="10">
        <f t="shared" si="10"/>
        <v>2116.489357679714</v>
      </c>
      <c r="C170" s="10">
        <f t="shared" si="11"/>
        <v>4483.0680344868451</v>
      </c>
      <c r="D170" s="10">
        <f t="shared" si="12"/>
        <v>6599.5573921665591</v>
      </c>
      <c r="E170" s="10">
        <f t="shared" si="13"/>
        <v>503474.37780863693</v>
      </c>
      <c r="F170" s="10">
        <f t="shared" si="14"/>
        <v>480208.87184928887</v>
      </c>
    </row>
    <row r="171" spans="1:6">
      <c r="A171" s="7">
        <v>149</v>
      </c>
      <c r="B171" s="10">
        <f t="shared" si="10"/>
        <v>2097.8099075359451</v>
      </c>
      <c r="C171" s="10">
        <f t="shared" si="11"/>
        <v>4501.7474846306141</v>
      </c>
      <c r="D171" s="10">
        <f t="shared" si="12"/>
        <v>6599.5573921665591</v>
      </c>
      <c r="E171" s="10">
        <f t="shared" si="13"/>
        <v>498972.63032400631</v>
      </c>
      <c r="F171" s="10">
        <f t="shared" si="14"/>
        <v>482306.68175682484</v>
      </c>
    </row>
    <row r="172" spans="1:6">
      <c r="A172" s="7">
        <v>150</v>
      </c>
      <c r="B172" s="10">
        <f t="shared" si="10"/>
        <v>2079.0526263502934</v>
      </c>
      <c r="C172" s="10">
        <f t="shared" si="11"/>
        <v>4520.5047658162657</v>
      </c>
      <c r="D172" s="10">
        <f t="shared" si="12"/>
        <v>6599.5573921665591</v>
      </c>
      <c r="E172" s="10">
        <f t="shared" si="13"/>
        <v>494452.12555819005</v>
      </c>
      <c r="F172" s="10">
        <f t="shared" si="14"/>
        <v>484385.73438317515</v>
      </c>
    </row>
    <row r="173" spans="1:6">
      <c r="A173" s="7">
        <v>151</v>
      </c>
      <c r="B173" s="10">
        <f t="shared" si="10"/>
        <v>2060.2171898254701</v>
      </c>
      <c r="C173" s="10">
        <f t="shared" si="11"/>
        <v>4539.340202341089</v>
      </c>
      <c r="D173" s="10">
        <f t="shared" si="12"/>
        <v>6599.5573921665591</v>
      </c>
      <c r="E173" s="10">
        <f t="shared" si="13"/>
        <v>489912.78535584896</v>
      </c>
      <c r="F173" s="10">
        <f t="shared" si="14"/>
        <v>486445.95157300064</v>
      </c>
    </row>
    <row r="174" spans="1:6">
      <c r="A174" s="7">
        <v>152</v>
      </c>
      <c r="B174" s="10">
        <f t="shared" si="10"/>
        <v>2041.3032723163878</v>
      </c>
      <c r="C174" s="10">
        <f t="shared" si="11"/>
        <v>4558.2541198501713</v>
      </c>
      <c r="D174" s="10">
        <f t="shared" si="12"/>
        <v>6599.5573921665591</v>
      </c>
      <c r="E174" s="10">
        <f t="shared" si="13"/>
        <v>485354.53123599879</v>
      </c>
      <c r="F174" s="10">
        <f t="shared" si="14"/>
        <v>488487.25484531705</v>
      </c>
    </row>
    <row r="175" spans="1:6">
      <c r="A175" s="7">
        <v>153</v>
      </c>
      <c r="B175" s="10">
        <f t="shared" si="10"/>
        <v>2022.310546816715</v>
      </c>
      <c r="C175" s="10">
        <f t="shared" si="11"/>
        <v>4577.2468453498441</v>
      </c>
      <c r="D175" s="10">
        <f t="shared" si="12"/>
        <v>6599.5573921665591</v>
      </c>
      <c r="E175" s="10">
        <f t="shared" si="13"/>
        <v>480777.28439064894</v>
      </c>
      <c r="F175" s="10">
        <f t="shared" si="14"/>
        <v>490509.56539213378</v>
      </c>
    </row>
    <row r="176" spans="1:6">
      <c r="A176" s="7">
        <v>154</v>
      </c>
      <c r="B176" s="10">
        <f t="shared" si="10"/>
        <v>2003.2386849606219</v>
      </c>
      <c r="C176" s="10">
        <f t="shared" si="11"/>
        <v>4596.3187072059372</v>
      </c>
      <c r="D176" s="10">
        <f t="shared" si="12"/>
        <v>6599.5573921665591</v>
      </c>
      <c r="E176" s="10">
        <f t="shared" si="13"/>
        <v>476180.96568344301</v>
      </c>
      <c r="F176" s="10">
        <f t="shared" si="14"/>
        <v>492512.80407709442</v>
      </c>
    </row>
    <row r="177" spans="1:6">
      <c r="A177" s="7">
        <v>155</v>
      </c>
      <c r="B177" s="10">
        <f t="shared" si="10"/>
        <v>1984.0873570145732</v>
      </c>
      <c r="C177" s="10">
        <f t="shared" si="11"/>
        <v>4615.4700351519859</v>
      </c>
      <c r="D177" s="10">
        <f t="shared" si="12"/>
        <v>6599.5573921665591</v>
      </c>
      <c r="E177" s="10">
        <f t="shared" si="13"/>
        <v>471565.49564829102</v>
      </c>
      <c r="F177" s="10">
        <f t="shared" si="14"/>
        <v>494496.89143410901</v>
      </c>
    </row>
    <row r="178" spans="1:6">
      <c r="A178" s="7">
        <v>156</v>
      </c>
      <c r="B178" s="10">
        <f t="shared" si="10"/>
        <v>1964.8562318677823</v>
      </c>
      <c r="C178" s="10">
        <f t="shared" si="11"/>
        <v>4634.7011602987768</v>
      </c>
      <c r="D178" s="10">
        <f t="shared" si="12"/>
        <v>6599.5573921665591</v>
      </c>
      <c r="E178" s="10">
        <f t="shared" si="13"/>
        <v>466930.79448799224</v>
      </c>
      <c r="F178" s="10">
        <f t="shared" si="14"/>
        <v>496461.74766597681</v>
      </c>
    </row>
    <row r="179" spans="1:6">
      <c r="A179" s="7">
        <v>157</v>
      </c>
      <c r="B179" s="10">
        <f t="shared" si="10"/>
        <v>1945.5449770333171</v>
      </c>
      <c r="C179" s="10">
        <f t="shared" si="11"/>
        <v>4654.012415133242</v>
      </c>
      <c r="D179" s="10">
        <f t="shared" si="12"/>
        <v>6599.5573921665591</v>
      </c>
      <c r="E179" s="10">
        <f t="shared" si="13"/>
        <v>462276.782072859</v>
      </c>
      <c r="F179" s="10">
        <f t="shared" si="14"/>
        <v>498407.29264301015</v>
      </c>
    </row>
    <row r="180" spans="1:6">
      <c r="A180" s="7">
        <v>158</v>
      </c>
      <c r="B180" s="10">
        <f t="shared" si="10"/>
        <v>1926.1532586368075</v>
      </c>
      <c r="C180" s="10">
        <f t="shared" si="11"/>
        <v>4673.4041335297516</v>
      </c>
      <c r="D180" s="10">
        <f t="shared" si="12"/>
        <v>6599.5573921665591</v>
      </c>
      <c r="E180" s="10">
        <f t="shared" si="13"/>
        <v>457603.37793932925</v>
      </c>
      <c r="F180" s="10">
        <f t="shared" si="14"/>
        <v>500333.44590164698</v>
      </c>
    </row>
    <row r="181" spans="1:6">
      <c r="A181" s="7">
        <v>159</v>
      </c>
      <c r="B181" s="10">
        <f t="shared" si="10"/>
        <v>1906.6807414138266</v>
      </c>
      <c r="C181" s="10">
        <f t="shared" si="11"/>
        <v>4692.8766507527325</v>
      </c>
      <c r="D181" s="10">
        <f t="shared" si="12"/>
        <v>6599.5573921665591</v>
      </c>
      <c r="E181" s="10">
        <f t="shared" si="13"/>
        <v>452910.50128857652</v>
      </c>
      <c r="F181" s="10">
        <f t="shared" si="14"/>
        <v>502240.12664306082</v>
      </c>
    </row>
    <row r="182" spans="1:6">
      <c r="A182" s="7">
        <v>160</v>
      </c>
      <c r="B182" s="10">
        <f t="shared" si="10"/>
        <v>1887.1270887024975</v>
      </c>
      <c r="C182" s="10">
        <f t="shared" si="11"/>
        <v>4712.4303034640616</v>
      </c>
      <c r="D182" s="10">
        <f t="shared" si="12"/>
        <v>6599.5573921665591</v>
      </c>
      <c r="E182" s="10">
        <f t="shared" si="13"/>
        <v>448198.07098511246</v>
      </c>
      <c r="F182" s="10">
        <f t="shared" si="14"/>
        <v>504127.25373176334</v>
      </c>
    </row>
    <row r="183" spans="1:6">
      <c r="A183" s="7">
        <v>161</v>
      </c>
      <c r="B183" s="10">
        <f t="shared" si="10"/>
        <v>1867.4919624380227</v>
      </c>
      <c r="C183" s="10">
        <f t="shared" si="11"/>
        <v>4732.0654297285364</v>
      </c>
      <c r="D183" s="10">
        <f t="shared" si="12"/>
        <v>6599.5573921665591</v>
      </c>
      <c r="E183" s="10">
        <f t="shared" si="13"/>
        <v>443466.00555538392</v>
      </c>
      <c r="F183" s="10">
        <f t="shared" si="14"/>
        <v>505994.74569420138</v>
      </c>
    </row>
    <row r="184" spans="1:6">
      <c r="A184" s="7">
        <v>162</v>
      </c>
      <c r="B184" s="10">
        <f t="shared" si="10"/>
        <v>1847.7750231472119</v>
      </c>
      <c r="C184" s="10">
        <f t="shared" si="11"/>
        <v>4751.7823690193472</v>
      </c>
      <c r="D184" s="10">
        <f t="shared" si="12"/>
        <v>6599.5573921665591</v>
      </c>
      <c r="E184" s="10">
        <f t="shared" si="13"/>
        <v>438714.22318636457</v>
      </c>
      <c r="F184" s="10">
        <f t="shared" si="14"/>
        <v>507842.52071734861</v>
      </c>
    </row>
    <row r="185" spans="1:6">
      <c r="A185" s="7">
        <v>163</v>
      </c>
      <c r="B185" s="10">
        <f t="shared" si="10"/>
        <v>1827.9759299430107</v>
      </c>
      <c r="C185" s="10">
        <f t="shared" si="11"/>
        <v>4771.5814622235484</v>
      </c>
      <c r="D185" s="10">
        <f t="shared" si="12"/>
        <v>6599.5573921665591</v>
      </c>
      <c r="E185" s="10">
        <f t="shared" si="13"/>
        <v>433942.64172414102</v>
      </c>
      <c r="F185" s="10">
        <f t="shared" si="14"/>
        <v>509670.49664729164</v>
      </c>
    </row>
    <row r="186" spans="1:6">
      <c r="A186" s="7">
        <v>164</v>
      </c>
      <c r="B186" s="10">
        <f t="shared" si="10"/>
        <v>1808.0943405173412</v>
      </c>
      <c r="C186" s="10">
        <f t="shared" si="11"/>
        <v>4791.463051649218</v>
      </c>
      <c r="D186" s="10">
        <f t="shared" si="12"/>
        <v>6599.5573921665591</v>
      </c>
      <c r="E186" s="10">
        <f t="shared" si="13"/>
        <v>429151.17867249181</v>
      </c>
      <c r="F186" s="10">
        <f t="shared" si="14"/>
        <v>511478.590987809</v>
      </c>
    </row>
    <row r="187" spans="1:6">
      <c r="A187" s="7">
        <v>165</v>
      </c>
      <c r="B187" s="10">
        <f t="shared" si="10"/>
        <v>1788.1299111353974</v>
      </c>
      <c r="C187" s="10">
        <f t="shared" si="11"/>
        <v>4811.4274810311617</v>
      </c>
      <c r="D187" s="10">
        <f t="shared" si="12"/>
        <v>6599.5573921665591</v>
      </c>
      <c r="E187" s="10">
        <f t="shared" si="13"/>
        <v>424339.75119146064</v>
      </c>
      <c r="F187" s="10">
        <f t="shared" si="14"/>
        <v>513266.72089894442</v>
      </c>
    </row>
    <row r="188" spans="1:6">
      <c r="A188" s="7">
        <v>166</v>
      </c>
      <c r="B188" s="10">
        <f t="shared" si="10"/>
        <v>1768.0822966312217</v>
      </c>
      <c r="C188" s="10">
        <f t="shared" si="11"/>
        <v>4831.4750955353375</v>
      </c>
      <c r="D188" s="10">
        <f t="shared" si="12"/>
        <v>6599.5573921665591</v>
      </c>
      <c r="E188" s="10">
        <f t="shared" si="13"/>
        <v>419508.27609592531</v>
      </c>
      <c r="F188" s="10">
        <f t="shared" si="14"/>
        <v>515034.80319557566</v>
      </c>
    </row>
    <row r="189" spans="1:6">
      <c r="A189" s="7">
        <v>167</v>
      </c>
      <c r="B189" s="10">
        <f t="shared" si="10"/>
        <v>1747.9511503996137</v>
      </c>
      <c r="C189" s="10">
        <f t="shared" si="11"/>
        <v>4851.6062417669455</v>
      </c>
      <c r="D189" s="10">
        <f t="shared" si="12"/>
        <v>6599.5573921665591</v>
      </c>
      <c r="E189" s="10">
        <f t="shared" si="13"/>
        <v>414656.66985415836</v>
      </c>
      <c r="F189" s="10">
        <f t="shared" si="14"/>
        <v>516782.75434597529</v>
      </c>
    </row>
    <row r="190" spans="1:6">
      <c r="A190" s="7">
        <v>168</v>
      </c>
      <c r="B190" s="10">
        <f t="shared" si="10"/>
        <v>1727.7361243923469</v>
      </c>
      <c r="C190" s="10">
        <f t="shared" si="11"/>
        <v>4871.8212677742122</v>
      </c>
      <c r="D190" s="10">
        <f t="shared" si="12"/>
        <v>6599.5573921665591</v>
      </c>
      <c r="E190" s="10">
        <f t="shared" si="13"/>
        <v>409784.84858638415</v>
      </c>
      <c r="F190" s="10">
        <f t="shared" si="14"/>
        <v>518510.49047036766</v>
      </c>
    </row>
    <row r="191" spans="1:6">
      <c r="A191" s="7">
        <v>169</v>
      </c>
      <c r="B191" s="10">
        <f t="shared" si="10"/>
        <v>1707.4368691100199</v>
      </c>
      <c r="C191" s="10">
        <f t="shared" si="11"/>
        <v>4892.1205230565392</v>
      </c>
      <c r="D191" s="10">
        <f t="shared" si="12"/>
        <v>6599.5573921665591</v>
      </c>
      <c r="E191" s="10">
        <f t="shared" si="13"/>
        <v>404892.72806332761</v>
      </c>
      <c r="F191" s="10">
        <f t="shared" si="14"/>
        <v>520217.9273394777</v>
      </c>
    </row>
    <row r="192" spans="1:6">
      <c r="A192" s="7">
        <v>170</v>
      </c>
      <c r="B192" s="10">
        <f t="shared" si="10"/>
        <v>1687.0530335969916</v>
      </c>
      <c r="C192" s="10">
        <f t="shared" si="11"/>
        <v>4912.5043585695676</v>
      </c>
      <c r="D192" s="10">
        <f t="shared" si="12"/>
        <v>6599.5573921665591</v>
      </c>
      <c r="E192" s="10">
        <f t="shared" si="13"/>
        <v>399980.22370475804</v>
      </c>
      <c r="F192" s="10">
        <f t="shared" si="14"/>
        <v>521904.98037307471</v>
      </c>
    </row>
    <row r="193" spans="1:6">
      <c r="A193" s="7">
        <v>171</v>
      </c>
      <c r="B193" s="10">
        <f t="shared" si="10"/>
        <v>1666.584265436376</v>
      </c>
      <c r="C193" s="10">
        <f t="shared" si="11"/>
        <v>4932.9731267301831</v>
      </c>
      <c r="D193" s="10">
        <f t="shared" si="12"/>
        <v>6599.5573921665591</v>
      </c>
      <c r="E193" s="10">
        <f t="shared" si="13"/>
        <v>395047.25057802786</v>
      </c>
      <c r="F193" s="10">
        <f t="shared" si="14"/>
        <v>523571.5646385111</v>
      </c>
    </row>
    <row r="194" spans="1:6">
      <c r="A194" s="7">
        <v>172</v>
      </c>
      <c r="B194" s="10">
        <f t="shared" si="10"/>
        <v>1646.0302107420093</v>
      </c>
      <c r="C194" s="10">
        <f t="shared" si="11"/>
        <v>4953.5271814245498</v>
      </c>
      <c r="D194" s="10">
        <f t="shared" si="12"/>
        <v>6599.5573921665591</v>
      </c>
      <c r="E194" s="10">
        <f t="shared" si="13"/>
        <v>390093.72339660331</v>
      </c>
      <c r="F194" s="10">
        <f t="shared" si="14"/>
        <v>525217.59484925307</v>
      </c>
    </row>
    <row r="195" spans="1:6">
      <c r="A195" s="7">
        <v>173</v>
      </c>
      <c r="B195" s="10">
        <f t="shared" si="10"/>
        <v>1625.3905141525129</v>
      </c>
      <c r="C195" s="10">
        <f t="shared" si="11"/>
        <v>4974.1668780140462</v>
      </c>
      <c r="D195" s="10">
        <f t="shared" si="12"/>
        <v>6599.5573921665591</v>
      </c>
      <c r="E195" s="10">
        <f t="shared" si="13"/>
        <v>385119.55651858926</v>
      </c>
      <c r="F195" s="10">
        <f t="shared" si="14"/>
        <v>526842.98536340555</v>
      </c>
    </row>
    <row r="196" spans="1:6">
      <c r="A196" s="7">
        <v>174</v>
      </c>
      <c r="B196" s="10">
        <f t="shared" si="10"/>
        <v>1604.6648188273348</v>
      </c>
      <c r="C196" s="10">
        <f t="shared" si="11"/>
        <v>4994.8925733392243</v>
      </c>
      <c r="D196" s="10">
        <f t="shared" si="12"/>
        <v>6599.5573921665591</v>
      </c>
      <c r="E196" s="10">
        <f t="shared" si="13"/>
        <v>380124.66394525004</v>
      </c>
      <c r="F196" s="10">
        <f t="shared" si="14"/>
        <v>528447.65018223284</v>
      </c>
    </row>
    <row r="197" spans="1:6">
      <c r="A197" s="7">
        <v>175</v>
      </c>
      <c r="B197" s="10">
        <f t="shared" si="10"/>
        <v>1583.8527664385429</v>
      </c>
      <c r="C197" s="10">
        <f t="shared" si="11"/>
        <v>5015.7046257280163</v>
      </c>
      <c r="D197" s="10">
        <f t="shared" si="12"/>
        <v>6599.5573921665591</v>
      </c>
      <c r="E197" s="10">
        <f t="shared" si="13"/>
        <v>375108.95931952202</v>
      </c>
      <c r="F197" s="10">
        <f t="shared" si="14"/>
        <v>530031.50294867135</v>
      </c>
    </row>
    <row r="198" spans="1:6">
      <c r="A198" s="7">
        <v>176</v>
      </c>
      <c r="B198" s="10">
        <f t="shared" si="10"/>
        <v>1562.9539971645963</v>
      </c>
      <c r="C198" s="10">
        <f t="shared" si="11"/>
        <v>5036.6033950019628</v>
      </c>
      <c r="D198" s="10">
        <f t="shared" si="12"/>
        <v>6599.5573921665591</v>
      </c>
      <c r="E198" s="10">
        <f t="shared" si="13"/>
        <v>370072.35592452006</v>
      </c>
      <c r="F198" s="10">
        <f t="shared" si="14"/>
        <v>531594.45694583596</v>
      </c>
    </row>
    <row r="199" spans="1:6">
      <c r="A199" s="7">
        <v>177</v>
      </c>
      <c r="B199" s="10">
        <f t="shared" si="10"/>
        <v>1541.9681496859803</v>
      </c>
      <c r="C199" s="10">
        <f t="shared" si="11"/>
        <v>5057.5892424805788</v>
      </c>
      <c r="D199" s="10">
        <f t="shared" si="12"/>
        <v>6599.5573921665591</v>
      </c>
      <c r="E199" s="10">
        <f t="shared" si="13"/>
        <v>365014.76668203948</v>
      </c>
      <c r="F199" s="10">
        <f t="shared" si="14"/>
        <v>533136.42509552196</v>
      </c>
    </row>
    <row r="200" spans="1:6">
      <c r="A200" s="7">
        <v>178</v>
      </c>
      <c r="B200" s="10">
        <f t="shared" si="10"/>
        <v>1520.894861174379</v>
      </c>
      <c r="C200" s="10">
        <f t="shared" si="11"/>
        <v>5078.6625309921801</v>
      </c>
      <c r="D200" s="10">
        <f t="shared" si="12"/>
        <v>6599.5573921665591</v>
      </c>
      <c r="E200" s="10">
        <f t="shared" si="13"/>
        <v>359936.1041510473</v>
      </c>
      <c r="F200" s="10">
        <f t="shared" si="14"/>
        <v>534657.31995669636</v>
      </c>
    </row>
    <row r="201" spans="1:6">
      <c r="A201" s="7">
        <v>179</v>
      </c>
      <c r="B201" s="10">
        <f t="shared" si="10"/>
        <v>1499.7337672961103</v>
      </c>
      <c r="C201" s="10">
        <f t="shared" si="11"/>
        <v>5099.8236248704488</v>
      </c>
      <c r="D201" s="10">
        <f t="shared" si="12"/>
        <v>6599.5573921665591</v>
      </c>
      <c r="E201" s="10">
        <f t="shared" si="13"/>
        <v>354836.28052617685</v>
      </c>
      <c r="F201" s="10">
        <f t="shared" si="14"/>
        <v>536157.05372399243</v>
      </c>
    </row>
    <row r="202" spans="1:6">
      <c r="A202" s="7">
        <v>180</v>
      </c>
      <c r="B202" s="10">
        <f t="shared" si="10"/>
        <v>1478.4845021925676</v>
      </c>
      <c r="C202" s="10">
        <f t="shared" si="11"/>
        <v>5121.0728899739916</v>
      </c>
      <c r="D202" s="10">
        <f t="shared" si="12"/>
        <v>6599.5573921665591</v>
      </c>
      <c r="E202" s="10">
        <f t="shared" si="13"/>
        <v>349715.20763620286</v>
      </c>
      <c r="F202" s="10">
        <f t="shared" si="14"/>
        <v>537635.53822618502</v>
      </c>
    </row>
    <row r="203" spans="1:6">
      <c r="A203" s="7">
        <v>181</v>
      </c>
      <c r="B203" s="10">
        <f t="shared" si="10"/>
        <v>1457.1466984840035</v>
      </c>
      <c r="C203" s="10">
        <f t="shared" si="11"/>
        <v>5142.4106936825556</v>
      </c>
      <c r="D203" s="10">
        <f t="shared" si="12"/>
        <v>6599.5573921665591</v>
      </c>
      <c r="E203" s="10">
        <f t="shared" si="13"/>
        <v>344572.7969425203</v>
      </c>
      <c r="F203" s="10">
        <f t="shared" si="14"/>
        <v>539092.68492466898</v>
      </c>
    </row>
    <row r="204" spans="1:6">
      <c r="A204" s="7">
        <v>182</v>
      </c>
      <c r="B204" s="10">
        <f t="shared" si="10"/>
        <v>1435.7199872607407</v>
      </c>
      <c r="C204" s="10">
        <f t="shared" si="11"/>
        <v>5163.8374049058184</v>
      </c>
      <c r="D204" s="10">
        <f t="shared" si="12"/>
        <v>6599.5573921665591</v>
      </c>
      <c r="E204" s="10">
        <f t="shared" si="13"/>
        <v>339408.95953761449</v>
      </c>
      <c r="F204" s="10">
        <f t="shared" si="14"/>
        <v>540528.40491192974</v>
      </c>
    </row>
    <row r="205" spans="1:6">
      <c r="A205" s="7">
        <v>183</v>
      </c>
      <c r="B205" s="10">
        <f t="shared" si="10"/>
        <v>1414.2039980730433</v>
      </c>
      <c r="C205" s="10">
        <f t="shared" si="11"/>
        <v>5185.3533940935158</v>
      </c>
      <c r="D205" s="10">
        <f t="shared" si="12"/>
        <v>6599.5573921665591</v>
      </c>
      <c r="E205" s="10">
        <f t="shared" si="13"/>
        <v>334223.60614352097</v>
      </c>
      <c r="F205" s="10">
        <f t="shared" si="14"/>
        <v>541942.60891000275</v>
      </c>
    </row>
    <row r="206" spans="1:6">
      <c r="A206" s="7">
        <v>184</v>
      </c>
      <c r="B206" s="10">
        <f t="shared" si="10"/>
        <v>1392.5983589315247</v>
      </c>
      <c r="C206" s="10">
        <f t="shared" si="11"/>
        <v>5206.9590332350344</v>
      </c>
      <c r="D206" s="10">
        <f t="shared" si="12"/>
        <v>6599.5573921665591</v>
      </c>
      <c r="E206" s="10">
        <f t="shared" si="13"/>
        <v>329016.64711028594</v>
      </c>
      <c r="F206" s="10">
        <f t="shared" si="14"/>
        <v>543335.20726893423</v>
      </c>
    </row>
    <row r="207" spans="1:6">
      <c r="A207" s="7">
        <v>185</v>
      </c>
      <c r="B207" s="10">
        <f t="shared" si="10"/>
        <v>1370.9026962931775</v>
      </c>
      <c r="C207" s="10">
        <f t="shared" si="11"/>
        <v>5228.6546958733816</v>
      </c>
      <c r="D207" s="10">
        <f t="shared" si="12"/>
        <v>6599.5573921665591</v>
      </c>
      <c r="E207" s="10">
        <f t="shared" si="13"/>
        <v>323787.99241441255</v>
      </c>
      <c r="F207" s="10">
        <f t="shared" si="14"/>
        <v>544706.10996522743</v>
      </c>
    </row>
    <row r="208" spans="1:6">
      <c r="A208" s="7">
        <v>186</v>
      </c>
      <c r="B208" s="10">
        <f t="shared" si="10"/>
        <v>1349.1166350597441</v>
      </c>
      <c r="C208" s="10">
        <f t="shared" si="11"/>
        <v>5250.440757106815</v>
      </c>
      <c r="D208" s="10">
        <f t="shared" si="12"/>
        <v>6599.5573921665591</v>
      </c>
      <c r="E208" s="10">
        <f t="shared" si="13"/>
        <v>318537.55165730574</v>
      </c>
      <c r="F208" s="10">
        <f t="shared" si="14"/>
        <v>546055.22660028713</v>
      </c>
    </row>
    <row r="209" spans="1:6">
      <c r="A209" s="7">
        <v>187</v>
      </c>
      <c r="B209" s="10">
        <f t="shared" si="10"/>
        <v>1327.23979857207</v>
      </c>
      <c r="C209" s="10">
        <f t="shared" si="11"/>
        <v>5272.3175935944892</v>
      </c>
      <c r="D209" s="10">
        <f t="shared" si="12"/>
        <v>6599.5573921665591</v>
      </c>
      <c r="E209" s="10">
        <f t="shared" si="13"/>
        <v>313265.23406371125</v>
      </c>
      <c r="F209" s="10">
        <f t="shared" si="14"/>
        <v>547382.46639885916</v>
      </c>
    </row>
    <row r="210" spans="1:6">
      <c r="A210" s="7">
        <v>188</v>
      </c>
      <c r="B210" s="10">
        <f t="shared" si="10"/>
        <v>1305.2718085989281</v>
      </c>
      <c r="C210" s="10">
        <f t="shared" si="11"/>
        <v>5294.285583567631</v>
      </c>
      <c r="D210" s="10">
        <f t="shared" si="12"/>
        <v>6599.5573921665591</v>
      </c>
      <c r="E210" s="10">
        <f t="shared" si="13"/>
        <v>307970.94848014362</v>
      </c>
      <c r="F210" s="10">
        <f t="shared" si="14"/>
        <v>548687.73820745805</v>
      </c>
    </row>
    <row r="211" spans="1:6">
      <c r="A211" s="7">
        <v>189</v>
      </c>
      <c r="B211" s="10">
        <f t="shared" si="10"/>
        <v>1283.2122853337596</v>
      </c>
      <c r="C211" s="10">
        <f t="shared" si="11"/>
        <v>5316.3451068327995</v>
      </c>
      <c r="D211" s="10">
        <f t="shared" si="12"/>
        <v>6599.5573921665591</v>
      </c>
      <c r="E211" s="10">
        <f t="shared" si="13"/>
        <v>302654.60337331082</v>
      </c>
      <c r="F211" s="10">
        <f t="shared" si="14"/>
        <v>549970.95049279183</v>
      </c>
    </row>
    <row r="212" spans="1:6">
      <c r="A212" s="7">
        <v>190</v>
      </c>
      <c r="B212" s="10">
        <f t="shared" si="10"/>
        <v>1261.0608473886195</v>
      </c>
      <c r="C212" s="10">
        <f t="shared" si="11"/>
        <v>5338.4965447779396</v>
      </c>
      <c r="D212" s="10">
        <f t="shared" si="12"/>
        <v>6599.5573921665591</v>
      </c>
      <c r="E212" s="10">
        <f t="shared" si="13"/>
        <v>297316.10682853288</v>
      </c>
      <c r="F212" s="10">
        <f t="shared" si="14"/>
        <v>551232.01134018041</v>
      </c>
    </row>
    <row r="213" spans="1:6">
      <c r="A213" s="7">
        <v>191</v>
      </c>
      <c r="B213" s="10">
        <f t="shared" si="10"/>
        <v>1238.8171117857373</v>
      </c>
      <c r="C213" s="10">
        <f t="shared" si="11"/>
        <v>5360.7402803808218</v>
      </c>
      <c r="D213" s="10">
        <f t="shared" si="12"/>
        <v>6599.5573921665591</v>
      </c>
      <c r="E213" s="10">
        <f t="shared" si="13"/>
        <v>291955.36654815206</v>
      </c>
      <c r="F213" s="10">
        <f t="shared" si="14"/>
        <v>552470.82845196617</v>
      </c>
    </row>
    <row r="214" spans="1:6">
      <c r="A214" s="7">
        <v>192</v>
      </c>
      <c r="B214" s="10">
        <f t="shared" si="10"/>
        <v>1216.4806939505897</v>
      </c>
      <c r="C214" s="10">
        <f t="shared" si="11"/>
        <v>5383.0766982159694</v>
      </c>
      <c r="D214" s="10">
        <f t="shared" si="12"/>
        <v>6599.5573921665591</v>
      </c>
      <c r="E214" s="10">
        <f t="shared" si="13"/>
        <v>286572.28984993609</v>
      </c>
      <c r="F214" s="10">
        <f t="shared" si="14"/>
        <v>553687.30914591672</v>
      </c>
    </row>
    <row r="215" spans="1:6">
      <c r="A215" s="7">
        <v>193</v>
      </c>
      <c r="B215" s="10">
        <f t="shared" ref="B215:B278" si="15">IF(E215&lt;0,NA(),D215-C215)</f>
        <v>1194.051207708234</v>
      </c>
      <c r="C215" s="10">
        <f t="shared" ref="C215:C282" si="16">IF(E215&lt;0,NA(),E214-E215)</f>
        <v>5405.5061844583252</v>
      </c>
      <c r="D215" s="10">
        <f t="shared" ref="D215:D282" si="17">IF(A215&lt;=$J$26,$F$12,NA())</f>
        <v>6599.5573921665591</v>
      </c>
      <c r="E215" s="10">
        <f t="shared" ref="E215:E278" si="18">IF(A215&lt;=$J$26,PV($J$24,IF($D$15=1,$J$25-A215,$J$25-A215*$D$12),-IF($D$15=1,D215,D215/$D$12)),NA())</f>
        <v>281166.78366547776</v>
      </c>
      <c r="F215" s="10">
        <f t="shared" ref="F215:F278" si="19">IF(E215&lt;0,NA(),B215+F214)</f>
        <v>554881.36035362491</v>
      </c>
    </row>
    <row r="216" spans="1:6">
      <c r="A216" s="7">
        <v>194</v>
      </c>
      <c r="B216" s="10">
        <f t="shared" si="15"/>
        <v>1171.5282652724227</v>
      </c>
      <c r="C216" s="10">
        <f t="shared" si="16"/>
        <v>5428.0291268941364</v>
      </c>
      <c r="D216" s="10">
        <f t="shared" si="17"/>
        <v>6599.5573921665591</v>
      </c>
      <c r="E216" s="10">
        <f t="shared" si="18"/>
        <v>275738.75453858363</v>
      </c>
      <c r="F216" s="10">
        <f t="shared" si="19"/>
        <v>556052.8886188973</v>
      </c>
    </row>
    <row r="217" spans="1:6">
      <c r="A217" s="7">
        <v>195</v>
      </c>
      <c r="B217" s="10">
        <f t="shared" si="15"/>
        <v>1148.9114772440325</v>
      </c>
      <c r="C217" s="10">
        <f t="shared" si="16"/>
        <v>5450.6459149225266</v>
      </c>
      <c r="D217" s="10">
        <f t="shared" si="17"/>
        <v>6599.5573921665591</v>
      </c>
      <c r="E217" s="10">
        <f t="shared" si="18"/>
        <v>270288.1086236611</v>
      </c>
      <c r="F217" s="10">
        <f t="shared" si="19"/>
        <v>557201.80009614129</v>
      </c>
    </row>
    <row r="218" spans="1:6">
      <c r="A218" s="7">
        <v>196</v>
      </c>
      <c r="B218" s="10">
        <f t="shared" si="15"/>
        <v>1126.2004525988405</v>
      </c>
      <c r="C218" s="10">
        <f t="shared" si="16"/>
        <v>5473.3569395677187</v>
      </c>
      <c r="D218" s="10">
        <f t="shared" si="17"/>
        <v>6599.5573921665591</v>
      </c>
      <c r="E218" s="10">
        <f t="shared" si="18"/>
        <v>264814.75168409338</v>
      </c>
      <c r="F218" s="10">
        <f t="shared" si="19"/>
        <v>558328.00054874015</v>
      </c>
    </row>
    <row r="219" spans="1:6">
      <c r="A219" s="7">
        <v>197</v>
      </c>
      <c r="B219" s="10">
        <f t="shared" si="15"/>
        <v>1103.3947986835656</v>
      </c>
      <c r="C219" s="10">
        <f t="shared" si="16"/>
        <v>5496.1625934829935</v>
      </c>
      <c r="D219" s="10">
        <f t="shared" si="17"/>
        <v>6599.5573921665591</v>
      </c>
      <c r="E219" s="10">
        <f t="shared" si="18"/>
        <v>259318.58909061039</v>
      </c>
      <c r="F219" s="10">
        <f t="shared" si="19"/>
        <v>559431.39534742374</v>
      </c>
    </row>
    <row r="220" spans="1:6">
      <c r="A220" s="7">
        <v>198</v>
      </c>
      <c r="B220" s="10">
        <f t="shared" si="15"/>
        <v>1080.4941212111544</v>
      </c>
      <c r="C220" s="10">
        <f t="shared" si="16"/>
        <v>5519.0632709554047</v>
      </c>
      <c r="D220" s="10">
        <f t="shared" si="17"/>
        <v>6599.5573921665591</v>
      </c>
      <c r="E220" s="10">
        <f t="shared" si="18"/>
        <v>253799.52581965498</v>
      </c>
      <c r="F220" s="10">
        <f t="shared" si="19"/>
        <v>560511.88946863485</v>
      </c>
    </row>
    <row r="221" spans="1:6">
      <c r="A221" s="7">
        <v>199</v>
      </c>
      <c r="B221" s="10">
        <f t="shared" si="15"/>
        <v>1057.4980242481788</v>
      </c>
      <c r="C221" s="10">
        <f t="shared" si="16"/>
        <v>5542.0593679183803</v>
      </c>
      <c r="D221" s="10">
        <f t="shared" si="17"/>
        <v>6599.5573921665591</v>
      </c>
      <c r="E221" s="10">
        <f t="shared" si="18"/>
        <v>248257.4664517366</v>
      </c>
      <c r="F221" s="10">
        <f t="shared" si="19"/>
        <v>561569.38749288302</v>
      </c>
    </row>
    <row r="222" spans="1:6">
      <c r="A222" s="7">
        <v>200</v>
      </c>
      <c r="B222" s="10">
        <f t="shared" si="15"/>
        <v>1034.4061102156802</v>
      </c>
      <c r="C222" s="10">
        <f t="shared" si="16"/>
        <v>5565.1512819508789</v>
      </c>
      <c r="D222" s="10">
        <f t="shared" si="17"/>
        <v>6599.5573921665591</v>
      </c>
      <c r="E222" s="10">
        <f t="shared" si="18"/>
        <v>242692.31516978572</v>
      </c>
      <c r="F222" s="10">
        <f t="shared" si="19"/>
        <v>562603.79360309872</v>
      </c>
    </row>
    <row r="223" spans="1:6">
      <c r="A223" s="7">
        <v>201</v>
      </c>
      <c r="B223" s="10">
        <f t="shared" si="15"/>
        <v>1011.2179798742391</v>
      </c>
      <c r="C223" s="10">
        <f t="shared" si="16"/>
        <v>5588.33941229232</v>
      </c>
      <c r="D223" s="10">
        <f t="shared" si="17"/>
        <v>6599.5573921665591</v>
      </c>
      <c r="E223" s="10">
        <f t="shared" si="18"/>
        <v>237103.9757574934</v>
      </c>
      <c r="F223" s="10">
        <f t="shared" si="19"/>
        <v>563615.01158297295</v>
      </c>
    </row>
    <row r="224" spans="1:6">
      <c r="A224" s="7">
        <v>202</v>
      </c>
      <c r="B224" s="10">
        <f t="shared" si="15"/>
        <v>987.93323232266539</v>
      </c>
      <c r="C224" s="10">
        <f t="shared" si="16"/>
        <v>5611.6241598438937</v>
      </c>
      <c r="D224" s="10">
        <f t="shared" si="17"/>
        <v>6599.5573921665591</v>
      </c>
      <c r="E224" s="10">
        <f t="shared" si="18"/>
        <v>231492.35159764951</v>
      </c>
      <c r="F224" s="10">
        <f t="shared" si="19"/>
        <v>564602.94481529563</v>
      </c>
    </row>
    <row r="225" spans="1:6">
      <c r="A225" s="7">
        <v>203</v>
      </c>
      <c r="B225" s="10">
        <f t="shared" si="15"/>
        <v>964.55146499014063</v>
      </c>
      <c r="C225" s="10">
        <f t="shared" si="16"/>
        <v>5635.0059271764185</v>
      </c>
      <c r="D225" s="10">
        <f t="shared" si="17"/>
        <v>6599.5573921665591</v>
      </c>
      <c r="E225" s="10">
        <f t="shared" si="18"/>
        <v>225857.34567047309</v>
      </c>
      <c r="F225" s="10">
        <f t="shared" si="19"/>
        <v>565567.49628028576</v>
      </c>
    </row>
    <row r="226" spans="1:6">
      <c r="A226" s="7">
        <v>204</v>
      </c>
      <c r="B226" s="10">
        <f t="shared" si="15"/>
        <v>941.07227362699177</v>
      </c>
      <c r="C226" s="10">
        <f t="shared" si="16"/>
        <v>5658.4851185395673</v>
      </c>
      <c r="D226" s="10">
        <f t="shared" si="17"/>
        <v>6599.5573921665591</v>
      </c>
      <c r="E226" s="10">
        <f t="shared" si="18"/>
        <v>220198.86055193353</v>
      </c>
      <c r="F226" s="10">
        <f t="shared" si="19"/>
        <v>566508.5685539128</v>
      </c>
    </row>
    <row r="227" spans="1:6">
      <c r="A227" s="7">
        <v>205</v>
      </c>
      <c r="B227" s="10">
        <f t="shared" si="15"/>
        <v>917.49525229997653</v>
      </c>
      <c r="C227" s="10">
        <f t="shared" si="16"/>
        <v>5682.0621398665826</v>
      </c>
      <c r="D227" s="10">
        <f t="shared" si="17"/>
        <v>6599.5573921665591</v>
      </c>
      <c r="E227" s="10">
        <f t="shared" si="18"/>
        <v>214516.79841206694</v>
      </c>
      <c r="F227" s="10">
        <f t="shared" si="19"/>
        <v>567426.06380621274</v>
      </c>
    </row>
    <row r="228" spans="1:6">
      <c r="A228" s="7">
        <v>206</v>
      </c>
      <c r="B228" s="10">
        <f t="shared" si="15"/>
        <v>893.81999338337755</v>
      </c>
      <c r="C228" s="10">
        <f t="shared" si="16"/>
        <v>5705.7373987831816</v>
      </c>
      <c r="D228" s="10">
        <f t="shared" si="17"/>
        <v>6599.5573921665591</v>
      </c>
      <c r="E228" s="10">
        <f t="shared" si="18"/>
        <v>208811.06101328376</v>
      </c>
      <c r="F228" s="10">
        <f t="shared" si="19"/>
        <v>568319.88379959611</v>
      </c>
    </row>
    <row r="229" spans="1:6">
      <c r="A229" s="7">
        <v>207</v>
      </c>
      <c r="B229" s="10">
        <f t="shared" si="15"/>
        <v>870.04608755542267</v>
      </c>
      <c r="C229" s="10">
        <f t="shared" si="16"/>
        <v>5729.5113046111364</v>
      </c>
      <c r="D229" s="10">
        <f t="shared" si="17"/>
        <v>6599.5573921665591</v>
      </c>
      <c r="E229" s="10">
        <f t="shared" si="18"/>
        <v>203081.54970867262</v>
      </c>
      <c r="F229" s="10">
        <f t="shared" si="19"/>
        <v>569189.92988715158</v>
      </c>
    </row>
    <row r="230" spans="1:6">
      <c r="A230" s="7">
        <v>208</v>
      </c>
      <c r="B230" s="10">
        <f t="shared" si="15"/>
        <v>846.1731237860613</v>
      </c>
      <c r="C230" s="10">
        <f t="shared" si="16"/>
        <v>5753.3842683804978</v>
      </c>
      <c r="D230" s="10">
        <f t="shared" si="17"/>
        <v>6599.5573921665591</v>
      </c>
      <c r="E230" s="10">
        <f t="shared" si="18"/>
        <v>197328.16544029213</v>
      </c>
      <c r="F230" s="10">
        <f t="shared" si="19"/>
        <v>570036.10301093769</v>
      </c>
    </row>
    <row r="231" spans="1:6">
      <c r="A231" s="7">
        <v>209</v>
      </c>
      <c r="B231" s="10">
        <f t="shared" si="15"/>
        <v>822.20068933489802</v>
      </c>
      <c r="C231" s="10">
        <f t="shared" si="16"/>
        <v>5777.3567028316611</v>
      </c>
      <c r="D231" s="10">
        <f t="shared" si="17"/>
        <v>6599.5573921665591</v>
      </c>
      <c r="E231" s="10">
        <f t="shared" si="18"/>
        <v>191550.80873746047</v>
      </c>
      <c r="F231" s="10">
        <f t="shared" si="19"/>
        <v>570858.30370027258</v>
      </c>
    </row>
    <row r="232" spans="1:6">
      <c r="A232" s="7">
        <v>210</v>
      </c>
      <c r="B232" s="10">
        <f t="shared" si="15"/>
        <v>798.12836973876529</v>
      </c>
      <c r="C232" s="10">
        <f t="shared" si="16"/>
        <v>5801.4290224277938</v>
      </c>
      <c r="D232" s="10">
        <f t="shared" si="17"/>
        <v>6599.5573921665591</v>
      </c>
      <c r="E232" s="10">
        <f t="shared" si="18"/>
        <v>185749.37971503267</v>
      </c>
      <c r="F232" s="10">
        <f t="shared" si="19"/>
        <v>571656.43207001139</v>
      </c>
    </row>
    <row r="233" spans="1:6">
      <c r="A233" s="7">
        <v>211</v>
      </c>
      <c r="B233" s="10">
        <f t="shared" si="15"/>
        <v>773.95574881268385</v>
      </c>
      <c r="C233" s="10">
        <f t="shared" si="16"/>
        <v>5825.6016433538753</v>
      </c>
      <c r="D233" s="10">
        <f t="shared" si="17"/>
        <v>6599.5573921665591</v>
      </c>
      <c r="E233" s="10">
        <f t="shared" si="18"/>
        <v>179923.7780716788</v>
      </c>
      <c r="F233" s="10">
        <f t="shared" si="19"/>
        <v>572430.38781882403</v>
      </c>
    </row>
    <row r="234" spans="1:6">
      <c r="A234" s="7">
        <v>212</v>
      </c>
      <c r="B234" s="10">
        <f t="shared" si="15"/>
        <v>749.6824086320803</v>
      </c>
      <c r="C234" s="10">
        <f t="shared" si="16"/>
        <v>5849.8749835344788</v>
      </c>
      <c r="D234" s="10">
        <f t="shared" si="17"/>
        <v>6599.5573921665591</v>
      </c>
      <c r="E234" s="10">
        <f t="shared" si="18"/>
        <v>174073.90308814432</v>
      </c>
      <c r="F234" s="10">
        <f t="shared" si="19"/>
        <v>573180.07022745616</v>
      </c>
    </row>
    <row r="235" spans="1:6">
      <c r="A235" s="7">
        <v>213</v>
      </c>
      <c r="B235" s="10">
        <f t="shared" si="15"/>
        <v>725.3079295338639</v>
      </c>
      <c r="C235" s="10">
        <f t="shared" si="16"/>
        <v>5874.2494626326952</v>
      </c>
      <c r="D235" s="10">
        <f t="shared" si="17"/>
        <v>6599.5573921665591</v>
      </c>
      <c r="E235" s="10">
        <f t="shared" si="18"/>
        <v>168199.65362551162</v>
      </c>
      <c r="F235" s="10">
        <f t="shared" si="19"/>
        <v>573905.37815699005</v>
      </c>
    </row>
    <row r="236" spans="1:6">
      <c r="A236" s="7">
        <v>214</v>
      </c>
      <c r="B236" s="10">
        <f t="shared" si="15"/>
        <v>700.83189010658953</v>
      </c>
      <c r="C236" s="10">
        <f t="shared" si="16"/>
        <v>5898.7255020599696</v>
      </c>
      <c r="D236" s="10">
        <f t="shared" si="17"/>
        <v>6599.5573921665591</v>
      </c>
      <c r="E236" s="10">
        <f t="shared" si="18"/>
        <v>162300.92812345165</v>
      </c>
      <c r="F236" s="10">
        <f t="shared" si="19"/>
        <v>574606.2100470966</v>
      </c>
    </row>
    <row r="237" spans="1:6">
      <c r="A237" s="7">
        <v>215</v>
      </c>
      <c r="B237" s="10">
        <f t="shared" si="15"/>
        <v>676.25386718064965</v>
      </c>
      <c r="C237" s="10">
        <f t="shared" si="16"/>
        <v>5923.3035249859095</v>
      </c>
      <c r="D237" s="10">
        <f t="shared" si="17"/>
        <v>6599.5573921665591</v>
      </c>
      <c r="E237" s="10">
        <f t="shared" si="18"/>
        <v>156377.62459846574</v>
      </c>
      <c r="F237" s="10">
        <f t="shared" si="19"/>
        <v>575282.46391427726</v>
      </c>
    </row>
    <row r="238" spans="1:6">
      <c r="A238" s="7">
        <v>216</v>
      </c>
      <c r="B238" s="10">
        <f t="shared" si="15"/>
        <v>651.57343582713929</v>
      </c>
      <c r="C238" s="10">
        <f t="shared" si="16"/>
        <v>5947.9839563394198</v>
      </c>
      <c r="D238" s="10">
        <f t="shared" si="17"/>
        <v>6599.5573921665591</v>
      </c>
      <c r="E238" s="10">
        <f t="shared" si="18"/>
        <v>150429.64064212632</v>
      </c>
      <c r="F238" s="10">
        <f t="shared" si="19"/>
        <v>575934.03735010442</v>
      </c>
    </row>
    <row r="239" spans="1:6">
      <c r="A239" s="7">
        <v>217</v>
      </c>
      <c r="B239" s="10">
        <f t="shared" si="15"/>
        <v>626.790169342431</v>
      </c>
      <c r="C239" s="10">
        <f t="shared" si="16"/>
        <v>5972.7672228241281</v>
      </c>
      <c r="D239" s="10">
        <f t="shared" si="17"/>
        <v>6599.5573921665591</v>
      </c>
      <c r="E239" s="10">
        <f t="shared" si="18"/>
        <v>144456.8734193022</v>
      </c>
      <c r="F239" s="10">
        <f t="shared" si="19"/>
        <v>576560.82751944684</v>
      </c>
    </row>
    <row r="240" spans="1:6">
      <c r="A240" s="7">
        <v>218</v>
      </c>
      <c r="B240" s="10">
        <f t="shared" si="15"/>
        <v>601.90363924660323</v>
      </c>
      <c r="C240" s="10">
        <f t="shared" si="16"/>
        <v>5997.6537529199559</v>
      </c>
      <c r="D240" s="10">
        <f t="shared" si="17"/>
        <v>6599.5573921665591</v>
      </c>
      <c r="E240" s="10">
        <f t="shared" si="18"/>
        <v>138459.21966638224</v>
      </c>
      <c r="F240" s="10">
        <f t="shared" si="19"/>
        <v>577162.73115869344</v>
      </c>
    </row>
    <row r="241" spans="1:6">
      <c r="A241" s="7">
        <v>219</v>
      </c>
      <c r="B241" s="10">
        <f t="shared" si="15"/>
        <v>576.91341527674649</v>
      </c>
      <c r="C241" s="10">
        <f t="shared" si="16"/>
        <v>6022.6439768898126</v>
      </c>
      <c r="D241" s="10">
        <f t="shared" si="17"/>
        <v>6599.5573921665591</v>
      </c>
      <c r="E241" s="10">
        <f t="shared" si="18"/>
        <v>132436.57568949243</v>
      </c>
      <c r="F241" s="10">
        <f t="shared" si="19"/>
        <v>577739.64457397023</v>
      </c>
    </row>
    <row r="242" spans="1:6">
      <c r="A242" s="7">
        <v>220</v>
      </c>
      <c r="B242" s="10">
        <f t="shared" si="15"/>
        <v>551.81906537294981</v>
      </c>
      <c r="C242" s="10">
        <f t="shared" si="16"/>
        <v>6047.7383267936093</v>
      </c>
      <c r="D242" s="10">
        <f t="shared" si="17"/>
        <v>6599.5573921665591</v>
      </c>
      <c r="E242" s="10">
        <f t="shared" si="18"/>
        <v>126388.83736269882</v>
      </c>
      <c r="F242" s="10">
        <f t="shared" si="19"/>
        <v>578291.46363934316</v>
      </c>
    </row>
    <row r="243" spans="1:6">
      <c r="A243" s="7">
        <v>221</v>
      </c>
      <c r="B243" s="10">
        <f t="shared" si="15"/>
        <v>526.62015567782055</v>
      </c>
      <c r="C243" s="10">
        <f t="shared" si="16"/>
        <v>6072.9372364887386</v>
      </c>
      <c r="D243" s="10">
        <f t="shared" si="17"/>
        <v>6599.5573921665591</v>
      </c>
      <c r="E243" s="10">
        <f t="shared" si="18"/>
        <v>120315.90012621008</v>
      </c>
      <c r="F243" s="10">
        <f t="shared" si="19"/>
        <v>578818.08379502094</v>
      </c>
    </row>
    <row r="244" spans="1:6">
      <c r="A244" s="7">
        <v>222</v>
      </c>
      <c r="B244" s="10">
        <f t="shared" si="15"/>
        <v>501.31625052570143</v>
      </c>
      <c r="C244" s="10">
        <f t="shared" si="16"/>
        <v>6098.2411416408577</v>
      </c>
      <c r="D244" s="10">
        <f t="shared" si="17"/>
        <v>6599.5573921665591</v>
      </c>
      <c r="E244" s="10">
        <f t="shared" si="18"/>
        <v>114217.65898456922</v>
      </c>
      <c r="F244" s="10">
        <f t="shared" si="19"/>
        <v>579319.40004554659</v>
      </c>
    </row>
    <row r="245" spans="1:6">
      <c r="A245" s="7">
        <v>223</v>
      </c>
      <c r="B245" s="10">
        <f t="shared" si="15"/>
        <v>475.90691243580204</v>
      </c>
      <c r="C245" s="10">
        <f t="shared" si="16"/>
        <v>6123.6504797307571</v>
      </c>
      <c r="D245" s="10">
        <f t="shared" si="17"/>
        <v>6599.5573921665591</v>
      </c>
      <c r="E245" s="10">
        <f t="shared" si="18"/>
        <v>108094.00850483846</v>
      </c>
      <c r="F245" s="10">
        <f t="shared" si="19"/>
        <v>579795.30695798236</v>
      </c>
    </row>
    <row r="246" spans="1:6">
      <c r="A246" s="7">
        <v>224</v>
      </c>
      <c r="B246" s="10">
        <f t="shared" si="15"/>
        <v>450.39170210346765</v>
      </c>
      <c r="C246" s="10">
        <f t="shared" si="16"/>
        <v>6149.1656900630915</v>
      </c>
      <c r="D246" s="10">
        <f t="shared" si="17"/>
        <v>6599.5573921665591</v>
      </c>
      <c r="E246" s="10">
        <f t="shared" si="18"/>
        <v>101944.84281477537</v>
      </c>
      <c r="F246" s="10">
        <f t="shared" si="19"/>
        <v>580245.69866008579</v>
      </c>
    </row>
    <row r="247" spans="1:6">
      <c r="A247" s="7">
        <v>225</v>
      </c>
      <c r="B247" s="10">
        <f t="shared" si="15"/>
        <v>424.77017839520249</v>
      </c>
      <c r="C247" s="10">
        <f t="shared" si="16"/>
        <v>6174.7872137713566</v>
      </c>
      <c r="D247" s="10">
        <f t="shared" si="17"/>
        <v>6599.5573921665591</v>
      </c>
      <c r="E247" s="10">
        <f t="shared" si="18"/>
        <v>95770.055601004016</v>
      </c>
      <c r="F247" s="10">
        <f t="shared" si="19"/>
        <v>580670.468838481</v>
      </c>
    </row>
    <row r="248" spans="1:6">
      <c r="A248" s="7">
        <v>226</v>
      </c>
      <c r="B248" s="10">
        <f t="shared" si="15"/>
        <v>399.0418983369409</v>
      </c>
      <c r="C248" s="10">
        <f t="shared" si="16"/>
        <v>6200.5154938296182</v>
      </c>
      <c r="D248" s="10">
        <f t="shared" si="17"/>
        <v>6599.5573921665591</v>
      </c>
      <c r="E248" s="10">
        <f t="shared" si="18"/>
        <v>89569.540107174398</v>
      </c>
      <c r="F248" s="10">
        <f t="shared" si="19"/>
        <v>581069.51073681796</v>
      </c>
    </row>
    <row r="249" spans="1:6">
      <c r="A249" s="7">
        <v>227</v>
      </c>
      <c r="B249" s="10">
        <f t="shared" si="15"/>
        <v>373.20641711323242</v>
      </c>
      <c r="C249" s="10">
        <f t="shared" si="16"/>
        <v>6226.3509750533267</v>
      </c>
      <c r="D249" s="10">
        <f t="shared" si="17"/>
        <v>6599.5573921665591</v>
      </c>
      <c r="E249" s="10">
        <f t="shared" si="18"/>
        <v>83343.189132121071</v>
      </c>
      <c r="F249" s="10">
        <f t="shared" si="19"/>
        <v>581442.71715393115</v>
      </c>
    </row>
    <row r="250" spans="1:6">
      <c r="A250" s="7">
        <v>228</v>
      </c>
      <c r="B250" s="10">
        <f t="shared" si="15"/>
        <v>347.2632880507108</v>
      </c>
      <c r="C250" s="10">
        <f t="shared" si="16"/>
        <v>6252.2941041158483</v>
      </c>
      <c r="D250" s="10">
        <f t="shared" si="17"/>
        <v>6599.5573921665591</v>
      </c>
      <c r="E250" s="10">
        <f t="shared" si="18"/>
        <v>77090.895028005223</v>
      </c>
      <c r="F250" s="10">
        <f t="shared" si="19"/>
        <v>581789.98044198181</v>
      </c>
    </row>
    <row r="251" spans="1:6">
      <c r="A251" s="7">
        <v>229</v>
      </c>
      <c r="B251" s="10">
        <f t="shared" si="15"/>
        <v>321.21206261655152</v>
      </c>
      <c r="C251" s="10">
        <f t="shared" si="16"/>
        <v>6278.3453295500076</v>
      </c>
      <c r="D251" s="10">
        <f t="shared" si="17"/>
        <v>6599.5573921665591</v>
      </c>
      <c r="E251" s="10">
        <f t="shared" si="18"/>
        <v>70812.549698455216</v>
      </c>
      <c r="F251" s="10">
        <f t="shared" si="19"/>
        <v>582111.19250459841</v>
      </c>
    </row>
    <row r="252" spans="1:6">
      <c r="A252" s="7">
        <v>230</v>
      </c>
      <c r="B252" s="10">
        <f t="shared" si="15"/>
        <v>295.05229041037364</v>
      </c>
      <c r="C252" s="10">
        <f t="shared" si="16"/>
        <v>6304.5051017561855</v>
      </c>
      <c r="D252" s="10">
        <f t="shared" si="17"/>
        <v>6599.5573921665591</v>
      </c>
      <c r="E252" s="10">
        <f t="shared" si="18"/>
        <v>64508.04459669903</v>
      </c>
      <c r="F252" s="10">
        <f t="shared" si="19"/>
        <v>582406.2447950088</v>
      </c>
    </row>
    <row r="253" spans="1:6">
      <c r="A253" s="7">
        <v>231</v>
      </c>
      <c r="B253" s="10">
        <f t="shared" si="15"/>
        <v>268.78351915272196</v>
      </c>
      <c r="C253" s="10">
        <f t="shared" si="16"/>
        <v>6330.7738730138371</v>
      </c>
      <c r="D253" s="10">
        <f t="shared" si="17"/>
        <v>6599.5573921665591</v>
      </c>
      <c r="E253" s="10">
        <f t="shared" si="18"/>
        <v>58177.270723685193</v>
      </c>
      <c r="F253" s="10">
        <f t="shared" si="19"/>
        <v>582675.02831416146</v>
      </c>
    </row>
    <row r="254" spans="1:6">
      <c r="A254" s="7">
        <v>232</v>
      </c>
      <c r="B254" s="10">
        <f t="shared" si="15"/>
        <v>242.4052946820475</v>
      </c>
      <c r="C254" s="10">
        <f t="shared" si="16"/>
        <v>6357.1520974845116</v>
      </c>
      <c r="D254" s="10">
        <f t="shared" si="17"/>
        <v>6599.5573921665591</v>
      </c>
      <c r="E254" s="10">
        <f t="shared" si="18"/>
        <v>51820.118626200681</v>
      </c>
      <c r="F254" s="10">
        <f t="shared" si="19"/>
        <v>582917.43360884348</v>
      </c>
    </row>
    <row r="255" spans="1:6">
      <c r="A255" s="7">
        <v>233</v>
      </c>
      <c r="B255" s="10">
        <f t="shared" si="15"/>
        <v>215.91716094276035</v>
      </c>
      <c r="C255" s="10">
        <f t="shared" si="16"/>
        <v>6383.6402312237988</v>
      </c>
      <c r="D255" s="10">
        <f t="shared" si="17"/>
        <v>6599.5573921665591</v>
      </c>
      <c r="E255" s="10">
        <f t="shared" si="18"/>
        <v>45436.478394976883</v>
      </c>
      <c r="F255" s="10">
        <f t="shared" si="19"/>
        <v>583133.35076978628</v>
      </c>
    </row>
    <row r="256" spans="1:6">
      <c r="A256" s="7">
        <v>234</v>
      </c>
      <c r="B256" s="10">
        <f t="shared" si="15"/>
        <v>189.3186599786668</v>
      </c>
      <c r="C256" s="10">
        <f t="shared" si="16"/>
        <v>6410.2387321878923</v>
      </c>
      <c r="D256" s="10">
        <f t="shared" si="17"/>
        <v>6599.5573921665591</v>
      </c>
      <c r="E256" s="10">
        <f t="shared" si="18"/>
        <v>39026.23966278899</v>
      </c>
      <c r="F256" s="10">
        <f t="shared" si="19"/>
        <v>583322.66942976497</v>
      </c>
    </row>
    <row r="257" spans="1:6">
      <c r="A257" s="7">
        <v>235</v>
      </c>
      <c r="B257" s="10">
        <f t="shared" si="15"/>
        <v>162.60933192829452</v>
      </c>
      <c r="C257" s="10">
        <f t="shared" si="16"/>
        <v>6436.9480602382646</v>
      </c>
      <c r="D257" s="10">
        <f t="shared" si="17"/>
        <v>6599.5573921665591</v>
      </c>
      <c r="E257" s="10">
        <f t="shared" si="18"/>
        <v>32589.291602550726</v>
      </c>
      <c r="F257" s="10">
        <f t="shared" si="19"/>
        <v>583485.27876169328</v>
      </c>
    </row>
    <row r="258" spans="1:6">
      <c r="A258" s="7">
        <v>236</v>
      </c>
      <c r="B258" s="10">
        <f t="shared" si="15"/>
        <v>135.78871501071535</v>
      </c>
      <c r="C258" s="10">
        <f t="shared" si="16"/>
        <v>6463.7686771558438</v>
      </c>
      <c r="D258" s="10">
        <f t="shared" si="17"/>
        <v>6599.5573921665591</v>
      </c>
      <c r="E258" s="10">
        <f t="shared" si="18"/>
        <v>26125.522925394882</v>
      </c>
      <c r="F258" s="10">
        <f t="shared" si="19"/>
        <v>583621.06747670402</v>
      </c>
    </row>
    <row r="259" spans="1:6">
      <c r="A259" s="7">
        <v>237</v>
      </c>
      <c r="B259" s="10">
        <f t="shared" si="15"/>
        <v>108.85634552253669</v>
      </c>
      <c r="C259" s="10">
        <f t="shared" si="16"/>
        <v>6490.7010466440224</v>
      </c>
      <c r="D259" s="10">
        <f t="shared" si="17"/>
        <v>6599.5573921665591</v>
      </c>
      <c r="E259" s="10">
        <f t="shared" si="18"/>
        <v>19634.821878750859</v>
      </c>
      <c r="F259" s="10">
        <f t="shared" si="19"/>
        <v>583729.92382222658</v>
      </c>
    </row>
    <row r="260" spans="1:6">
      <c r="A260" s="7">
        <v>238</v>
      </c>
      <c r="B260" s="10">
        <f t="shared" si="15"/>
        <v>81.811757827988004</v>
      </c>
      <c r="C260" s="10">
        <f t="shared" si="16"/>
        <v>6517.7456343385711</v>
      </c>
      <c r="D260" s="10">
        <f t="shared" si="17"/>
        <v>6599.5573921665591</v>
      </c>
      <c r="E260" s="10">
        <f t="shared" si="18"/>
        <v>13117.076244412288</v>
      </c>
      <c r="F260" s="10">
        <f t="shared" si="19"/>
        <v>583811.73558005458</v>
      </c>
    </row>
    <row r="261" spans="1:6">
      <c r="A261" s="7">
        <v>239</v>
      </c>
      <c r="B261" s="10">
        <f t="shared" si="15"/>
        <v>54.654484351650353</v>
      </c>
      <c r="C261" s="10">
        <f t="shared" si="16"/>
        <v>6544.9029078149088</v>
      </c>
      <c r="D261" s="10">
        <f t="shared" si="17"/>
        <v>6599.5573921665591</v>
      </c>
      <c r="E261" s="10">
        <f t="shared" si="18"/>
        <v>6572.1733365973796</v>
      </c>
      <c r="F261" s="10">
        <f t="shared" si="19"/>
        <v>583866.39006440621</v>
      </c>
    </row>
    <row r="262" spans="1:6">
      <c r="A262" s="7">
        <v>240</v>
      </c>
      <c r="B262" s="10">
        <f t="shared" si="15"/>
        <v>27.384055569179509</v>
      </c>
      <c r="C262" s="10">
        <f t="shared" si="16"/>
        <v>6572.1733365973796</v>
      </c>
      <c r="D262" s="10">
        <f t="shared" si="17"/>
        <v>6599.5573921665591</v>
      </c>
      <c r="E262" s="10">
        <f t="shared" si="18"/>
        <v>0</v>
      </c>
      <c r="F262" s="10">
        <f t="shared" si="19"/>
        <v>583893.77411997539</v>
      </c>
    </row>
    <row r="263" spans="1:6">
      <c r="A263" s="7">
        <v>241</v>
      </c>
      <c r="B263" s="10" t="e">
        <f t="shared" si="15"/>
        <v>#N/A</v>
      </c>
      <c r="C263" s="10" t="e">
        <f t="shared" si="16"/>
        <v>#N/A</v>
      </c>
      <c r="D263" s="10" t="e">
        <f t="shared" si="17"/>
        <v>#N/A</v>
      </c>
      <c r="E263" s="10" t="e">
        <f t="shared" si="18"/>
        <v>#N/A</v>
      </c>
      <c r="F263" s="10" t="e">
        <f t="shared" si="19"/>
        <v>#N/A</v>
      </c>
    </row>
    <row r="264" spans="1:6">
      <c r="A264" s="7">
        <v>242</v>
      </c>
      <c r="B264" s="10" t="e">
        <f t="shared" si="15"/>
        <v>#N/A</v>
      </c>
      <c r="C264" s="10" t="e">
        <f t="shared" si="16"/>
        <v>#N/A</v>
      </c>
      <c r="D264" s="10" t="e">
        <f t="shared" si="17"/>
        <v>#N/A</v>
      </c>
      <c r="E264" s="10" t="e">
        <f t="shared" si="18"/>
        <v>#N/A</v>
      </c>
      <c r="F264" s="10" t="e">
        <f t="shared" si="19"/>
        <v>#N/A</v>
      </c>
    </row>
    <row r="265" spans="1:6">
      <c r="A265" s="7">
        <v>243</v>
      </c>
      <c r="B265" s="10" t="e">
        <f t="shared" si="15"/>
        <v>#N/A</v>
      </c>
      <c r="C265" s="10" t="e">
        <f t="shared" si="16"/>
        <v>#N/A</v>
      </c>
      <c r="D265" s="10" t="e">
        <f t="shared" si="17"/>
        <v>#N/A</v>
      </c>
      <c r="E265" s="10" t="e">
        <f t="shared" si="18"/>
        <v>#N/A</v>
      </c>
      <c r="F265" s="10" t="e">
        <f t="shared" si="19"/>
        <v>#N/A</v>
      </c>
    </row>
    <row r="266" spans="1:6">
      <c r="A266" s="7">
        <v>244</v>
      </c>
      <c r="B266" s="10" t="e">
        <f t="shared" si="15"/>
        <v>#N/A</v>
      </c>
      <c r="C266" s="10" t="e">
        <f t="shared" si="16"/>
        <v>#N/A</v>
      </c>
      <c r="D266" s="10" t="e">
        <f t="shared" si="17"/>
        <v>#N/A</v>
      </c>
      <c r="E266" s="10" t="e">
        <f t="shared" si="18"/>
        <v>#N/A</v>
      </c>
      <c r="F266" s="10" t="e">
        <f t="shared" si="19"/>
        <v>#N/A</v>
      </c>
    </row>
    <row r="267" spans="1:6">
      <c r="A267" s="7">
        <v>245</v>
      </c>
      <c r="B267" s="10" t="e">
        <f t="shared" si="15"/>
        <v>#N/A</v>
      </c>
      <c r="C267" s="10" t="e">
        <f t="shared" si="16"/>
        <v>#N/A</v>
      </c>
      <c r="D267" s="10" t="e">
        <f t="shared" si="17"/>
        <v>#N/A</v>
      </c>
      <c r="E267" s="10" t="e">
        <f t="shared" si="18"/>
        <v>#N/A</v>
      </c>
      <c r="F267" s="10" t="e">
        <f t="shared" si="19"/>
        <v>#N/A</v>
      </c>
    </row>
    <row r="268" spans="1:6">
      <c r="A268" s="7">
        <v>246</v>
      </c>
      <c r="B268" s="10" t="e">
        <f t="shared" si="15"/>
        <v>#N/A</v>
      </c>
      <c r="C268" s="10" t="e">
        <f t="shared" si="16"/>
        <v>#N/A</v>
      </c>
      <c r="D268" s="10" t="e">
        <f t="shared" si="17"/>
        <v>#N/A</v>
      </c>
      <c r="E268" s="10" t="e">
        <f t="shared" si="18"/>
        <v>#N/A</v>
      </c>
      <c r="F268" s="10" t="e">
        <f t="shared" si="19"/>
        <v>#N/A</v>
      </c>
    </row>
    <row r="269" spans="1:6">
      <c r="A269" s="7">
        <v>247</v>
      </c>
      <c r="B269" s="10" t="e">
        <f t="shared" si="15"/>
        <v>#N/A</v>
      </c>
      <c r="C269" s="10" t="e">
        <f t="shared" si="16"/>
        <v>#N/A</v>
      </c>
      <c r="D269" s="10" t="e">
        <f t="shared" si="17"/>
        <v>#N/A</v>
      </c>
      <c r="E269" s="10" t="e">
        <f t="shared" si="18"/>
        <v>#N/A</v>
      </c>
      <c r="F269" s="10" t="e">
        <f t="shared" si="19"/>
        <v>#N/A</v>
      </c>
    </row>
    <row r="270" spans="1:6">
      <c r="A270" s="7">
        <v>248</v>
      </c>
      <c r="B270" s="10" t="e">
        <f t="shared" si="15"/>
        <v>#N/A</v>
      </c>
      <c r="C270" s="10" t="e">
        <f t="shared" si="16"/>
        <v>#N/A</v>
      </c>
      <c r="D270" s="10" t="e">
        <f t="shared" si="17"/>
        <v>#N/A</v>
      </c>
      <c r="E270" s="10" t="e">
        <f t="shared" si="18"/>
        <v>#N/A</v>
      </c>
      <c r="F270" s="10" t="e">
        <f t="shared" si="19"/>
        <v>#N/A</v>
      </c>
    </row>
    <row r="271" spans="1:6">
      <c r="A271" s="7">
        <v>249</v>
      </c>
      <c r="B271" s="10" t="e">
        <f t="shared" si="15"/>
        <v>#N/A</v>
      </c>
      <c r="C271" s="10" t="e">
        <f t="shared" si="16"/>
        <v>#N/A</v>
      </c>
      <c r="D271" s="10" t="e">
        <f t="shared" si="17"/>
        <v>#N/A</v>
      </c>
      <c r="E271" s="10" t="e">
        <f t="shared" si="18"/>
        <v>#N/A</v>
      </c>
      <c r="F271" s="10" t="e">
        <f t="shared" si="19"/>
        <v>#N/A</v>
      </c>
    </row>
    <row r="272" spans="1:6">
      <c r="A272" s="7">
        <v>250</v>
      </c>
      <c r="B272" s="10" t="e">
        <f t="shared" si="15"/>
        <v>#N/A</v>
      </c>
      <c r="C272" s="10" t="e">
        <f t="shared" si="16"/>
        <v>#N/A</v>
      </c>
      <c r="D272" s="10" t="e">
        <f t="shared" si="17"/>
        <v>#N/A</v>
      </c>
      <c r="E272" s="10" t="e">
        <f t="shared" si="18"/>
        <v>#N/A</v>
      </c>
      <c r="F272" s="10" t="e">
        <f t="shared" si="19"/>
        <v>#N/A</v>
      </c>
    </row>
    <row r="273" spans="1:6">
      <c r="A273" s="7">
        <v>251</v>
      </c>
      <c r="B273" s="10" t="e">
        <f t="shared" si="15"/>
        <v>#N/A</v>
      </c>
      <c r="C273" s="10" t="e">
        <f t="shared" si="16"/>
        <v>#N/A</v>
      </c>
      <c r="D273" s="10" t="e">
        <f t="shared" si="17"/>
        <v>#N/A</v>
      </c>
      <c r="E273" s="10" t="e">
        <f t="shared" si="18"/>
        <v>#N/A</v>
      </c>
      <c r="F273" s="10" t="e">
        <f t="shared" si="19"/>
        <v>#N/A</v>
      </c>
    </row>
    <row r="274" spans="1:6">
      <c r="A274" s="7">
        <v>252</v>
      </c>
      <c r="B274" s="10" t="e">
        <f t="shared" si="15"/>
        <v>#N/A</v>
      </c>
      <c r="C274" s="10" t="e">
        <f t="shared" si="16"/>
        <v>#N/A</v>
      </c>
      <c r="D274" s="10" t="e">
        <f t="shared" si="17"/>
        <v>#N/A</v>
      </c>
      <c r="E274" s="10" t="e">
        <f t="shared" si="18"/>
        <v>#N/A</v>
      </c>
      <c r="F274" s="10" t="e">
        <f t="shared" si="19"/>
        <v>#N/A</v>
      </c>
    </row>
    <row r="275" spans="1:6">
      <c r="A275" s="7">
        <v>253</v>
      </c>
      <c r="B275" s="10" t="e">
        <f t="shared" si="15"/>
        <v>#N/A</v>
      </c>
      <c r="C275" s="10" t="e">
        <f t="shared" si="16"/>
        <v>#N/A</v>
      </c>
      <c r="D275" s="10" t="e">
        <f t="shared" si="17"/>
        <v>#N/A</v>
      </c>
      <c r="E275" s="10" t="e">
        <f t="shared" si="18"/>
        <v>#N/A</v>
      </c>
      <c r="F275" s="10" t="e">
        <f t="shared" si="19"/>
        <v>#N/A</v>
      </c>
    </row>
    <row r="276" spans="1:6">
      <c r="A276" s="7">
        <v>254</v>
      </c>
      <c r="B276" s="10" t="e">
        <f t="shared" si="15"/>
        <v>#N/A</v>
      </c>
      <c r="C276" s="10" t="e">
        <f t="shared" si="16"/>
        <v>#N/A</v>
      </c>
      <c r="D276" s="10" t="e">
        <f t="shared" si="17"/>
        <v>#N/A</v>
      </c>
      <c r="E276" s="10" t="e">
        <f t="shared" si="18"/>
        <v>#N/A</v>
      </c>
      <c r="F276" s="10" t="e">
        <f t="shared" si="19"/>
        <v>#N/A</v>
      </c>
    </row>
    <row r="277" spans="1:6">
      <c r="A277" s="7">
        <v>255</v>
      </c>
      <c r="B277" s="10" t="e">
        <f t="shared" si="15"/>
        <v>#N/A</v>
      </c>
      <c r="C277" s="10" t="e">
        <f t="shared" si="16"/>
        <v>#N/A</v>
      </c>
      <c r="D277" s="10" t="e">
        <f t="shared" si="17"/>
        <v>#N/A</v>
      </c>
      <c r="E277" s="10" t="e">
        <f t="shared" si="18"/>
        <v>#N/A</v>
      </c>
      <c r="F277" s="10" t="e">
        <f t="shared" si="19"/>
        <v>#N/A</v>
      </c>
    </row>
    <row r="278" spans="1:6">
      <c r="A278" s="7">
        <v>256</v>
      </c>
      <c r="B278" s="10" t="e">
        <f t="shared" si="15"/>
        <v>#N/A</v>
      </c>
      <c r="C278" s="10" t="e">
        <f t="shared" si="16"/>
        <v>#N/A</v>
      </c>
      <c r="D278" s="10" t="e">
        <f t="shared" si="17"/>
        <v>#N/A</v>
      </c>
      <c r="E278" s="10" t="e">
        <f t="shared" si="18"/>
        <v>#N/A</v>
      </c>
      <c r="F278" s="10" t="e">
        <f t="shared" si="19"/>
        <v>#N/A</v>
      </c>
    </row>
    <row r="279" spans="1:6">
      <c r="A279" s="7">
        <v>257</v>
      </c>
      <c r="B279" s="10" t="e">
        <f>IF(E279&lt;0,NA(),D279-C279)</f>
        <v>#N/A</v>
      </c>
      <c r="C279" s="10" t="e">
        <f t="shared" si="16"/>
        <v>#N/A</v>
      </c>
      <c r="D279" s="10" t="e">
        <f t="shared" si="17"/>
        <v>#N/A</v>
      </c>
      <c r="E279" s="10" t="e">
        <f>IF(A279&lt;=$J$26,PV($J$24,IF($D$15=1,$J$25-A279,$J$25-A279*$D$12),-IF($D$15=1,D279,D279/$D$12)),NA())</f>
        <v>#N/A</v>
      </c>
      <c r="F279" s="10" t="e">
        <f>IF(E279&lt;0,NA(),B279+F278)</f>
        <v>#N/A</v>
      </c>
    </row>
    <row r="280" spans="1:6">
      <c r="A280" s="7">
        <v>258</v>
      </c>
      <c r="B280" s="10" t="e">
        <f>IF(E280&lt;0,NA(),D280-C280)</f>
        <v>#N/A</v>
      </c>
      <c r="C280" s="10" t="e">
        <f t="shared" si="16"/>
        <v>#N/A</v>
      </c>
      <c r="D280" s="10" t="e">
        <f t="shared" si="17"/>
        <v>#N/A</v>
      </c>
      <c r="E280" s="10" t="e">
        <f>IF(A280&lt;=$J$26,PV($J$24,IF($D$15=1,$J$25-A280,$J$25-A280*$D$12),-IF($D$15=1,D280,D280/$D$12)),NA())</f>
        <v>#N/A</v>
      </c>
      <c r="F280" s="10" t="e">
        <f>IF(E280&lt;0,NA(),B280+F279)</f>
        <v>#N/A</v>
      </c>
    </row>
    <row r="281" spans="1:6">
      <c r="A281" s="7">
        <v>259</v>
      </c>
      <c r="B281" s="10" t="e">
        <f>IF(E281&lt;0,NA(),D281-C281)</f>
        <v>#N/A</v>
      </c>
      <c r="C281" s="10" t="e">
        <f t="shared" si="16"/>
        <v>#N/A</v>
      </c>
      <c r="D281" s="10" t="e">
        <f t="shared" si="17"/>
        <v>#N/A</v>
      </c>
      <c r="E281" s="10" t="e">
        <f>IF(A281&lt;=$J$26,PV($J$24,IF($D$15=1,$J$25-A281,$J$25-A281*$D$12),-IF($D$15=1,D281,D281/$D$12)),NA())</f>
        <v>#N/A</v>
      </c>
      <c r="F281" s="10" t="e">
        <f>IF(E281&lt;0,NA(),B281+F280)</f>
        <v>#N/A</v>
      </c>
    </row>
    <row r="282" spans="1:6">
      <c r="A282" s="7">
        <v>260</v>
      </c>
      <c r="B282" s="10" t="e">
        <f>IF(E282&lt;0,NA(),D282-C282)</f>
        <v>#N/A</v>
      </c>
      <c r="C282" s="10" t="e">
        <f t="shared" si="16"/>
        <v>#N/A</v>
      </c>
      <c r="D282" s="10" t="e">
        <f t="shared" si="17"/>
        <v>#N/A</v>
      </c>
      <c r="E282" s="10" t="e">
        <f>IF(A282&lt;=$J$26,PV($J$24,IF($D$15=1,$J$25-A282,$J$25-A282*$D$12),-IF($D$15=1,D282,D282/$D$12)),NA())</f>
        <v>#N/A</v>
      </c>
      <c r="F282" s="10" t="e">
        <f>IF(E282&lt;0,NA(),B282+F281)</f>
        <v>#N/A</v>
      </c>
    </row>
  </sheetData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I50"/>
  <sheetViews>
    <sheetView workbookViewId="0"/>
  </sheetViews>
  <sheetFormatPr defaultColWidth="9.625" defaultRowHeight="12"/>
  <sheetData>
    <row r="2" spans="1:9">
      <c r="B2" s="1" t="s">
        <v>167</v>
      </c>
    </row>
    <row r="3" spans="1:9">
      <c r="F3" s="21"/>
      <c r="G3" s="21"/>
      <c r="H3" s="21"/>
      <c r="I3" s="21"/>
    </row>
    <row r="4" spans="1:9">
      <c r="A4" s="1" t="s">
        <v>168</v>
      </c>
      <c r="C4" s="22">
        <v>33</v>
      </c>
      <c r="D4" s="1" t="s">
        <v>169</v>
      </c>
      <c r="E4" s="1" t="s">
        <v>170</v>
      </c>
    </row>
    <row r="6" spans="1:9">
      <c r="A6" s="1" t="s">
        <v>171</v>
      </c>
      <c r="E6" s="23" t="s">
        <v>172</v>
      </c>
      <c r="G6" s="23" t="s">
        <v>173</v>
      </c>
    </row>
    <row r="7" spans="1:9">
      <c r="A7" s="1" t="s">
        <v>114</v>
      </c>
      <c r="B7" s="1" t="s">
        <v>114</v>
      </c>
      <c r="C7" s="1" t="s">
        <v>114</v>
      </c>
      <c r="D7" s="1" t="s">
        <v>114</v>
      </c>
      <c r="E7" s="1" t="s">
        <v>114</v>
      </c>
      <c r="F7" s="1" t="s">
        <v>114</v>
      </c>
      <c r="G7" s="1" t="s">
        <v>114</v>
      </c>
    </row>
    <row r="8" spans="1:9">
      <c r="A8" s="1" t="s">
        <v>174</v>
      </c>
      <c r="E8" s="24">
        <v>1</v>
      </c>
      <c r="F8" s="10"/>
      <c r="G8" s="24">
        <v>2.17</v>
      </c>
      <c r="H8" s="1" t="s">
        <v>170</v>
      </c>
    </row>
    <row r="9" spans="1:9">
      <c r="E9" s="25"/>
      <c r="G9" s="25"/>
    </row>
    <row r="10" spans="1:9">
      <c r="A10" s="1" t="s">
        <v>175</v>
      </c>
      <c r="E10" s="22">
        <v>6.75</v>
      </c>
      <c r="G10" s="22">
        <v>29.6</v>
      </c>
      <c r="H10" s="1" t="s">
        <v>170</v>
      </c>
    </row>
    <row r="11" spans="1:9">
      <c r="E11" s="25"/>
      <c r="G11" s="25"/>
    </row>
    <row r="12" spans="1:9">
      <c r="A12" s="1" t="s">
        <v>176</v>
      </c>
      <c r="E12" s="22">
        <v>0</v>
      </c>
      <c r="G12" s="22">
        <v>100</v>
      </c>
      <c r="H12" s="1" t="s">
        <v>170</v>
      </c>
    </row>
    <row r="14" spans="1:9">
      <c r="A14" s="1" t="s">
        <v>107</v>
      </c>
      <c r="B14" s="1" t="s">
        <v>107</v>
      </c>
      <c r="C14" s="1" t="s">
        <v>107</v>
      </c>
      <c r="D14" s="1" t="s">
        <v>107</v>
      </c>
      <c r="E14" s="1" t="s">
        <v>107</v>
      </c>
      <c r="F14" s="1" t="s">
        <v>107</v>
      </c>
      <c r="G14" s="1" t="s">
        <v>107</v>
      </c>
    </row>
    <row r="15" spans="1:9">
      <c r="A15" s="1" t="s">
        <v>177</v>
      </c>
      <c r="E15" s="10">
        <f>E47</f>
        <v>4.5225</v>
      </c>
      <c r="F15" s="26" t="s">
        <v>169</v>
      </c>
      <c r="G15" s="10">
        <f>G47</f>
        <v>9.6624310644405842</v>
      </c>
      <c r="H15" s="1" t="s">
        <v>169</v>
      </c>
    </row>
    <row r="16" spans="1:9">
      <c r="A16" s="1" t="s">
        <v>107</v>
      </c>
      <c r="B16" s="1" t="s">
        <v>107</v>
      </c>
      <c r="C16" s="1" t="s">
        <v>107</v>
      </c>
      <c r="D16" s="1" t="s">
        <v>107</v>
      </c>
      <c r="E16" s="1" t="s">
        <v>107</v>
      </c>
      <c r="F16" s="1" t="s">
        <v>107</v>
      </c>
      <c r="G16" s="1" t="s">
        <v>107</v>
      </c>
    </row>
    <row r="18" spans="1:7">
      <c r="A18" s="1" t="s">
        <v>178</v>
      </c>
    </row>
    <row r="21" spans="1:7">
      <c r="B21" s="1" t="s">
        <v>179</v>
      </c>
    </row>
    <row r="23" spans="1:7">
      <c r="A23" s="1" t="s">
        <v>180</v>
      </c>
      <c r="E23" s="5">
        <f>E10*(100-E12)/100</f>
        <v>6.75</v>
      </c>
      <c r="G23" s="5">
        <f>G10*(100-G12)/100</f>
        <v>0</v>
      </c>
    </row>
    <row r="24" spans="1:7">
      <c r="A24" s="1" t="s">
        <v>181</v>
      </c>
      <c r="E24" s="5">
        <f>E10*E12/100</f>
        <v>0</v>
      </c>
      <c r="G24" s="5">
        <f>G10*G12/100</f>
        <v>29.6</v>
      </c>
    </row>
    <row r="26" spans="1:7">
      <c r="A26" s="1" t="s">
        <v>182</v>
      </c>
      <c r="E26" s="10">
        <f>E24*39/61</f>
        <v>0</v>
      </c>
      <c r="F26" s="10"/>
      <c r="G26" s="27">
        <f>G24*39/61</f>
        <v>18.924590163934429</v>
      </c>
    </row>
    <row r="28" spans="1:7">
      <c r="A28" s="1" t="s">
        <v>183</v>
      </c>
      <c r="E28" s="10">
        <f>E23+E24+E26</f>
        <v>6.75</v>
      </c>
      <c r="F28" s="10"/>
      <c r="G28" s="10">
        <f>G23+G24+G26</f>
        <v>48.524590163934434</v>
      </c>
    </row>
    <row r="29" spans="1:7">
      <c r="A29" s="1" t="s">
        <v>114</v>
      </c>
      <c r="B29" s="1" t="s">
        <v>114</v>
      </c>
      <c r="C29" s="1" t="s">
        <v>114</v>
      </c>
      <c r="D29" s="1" t="s">
        <v>114</v>
      </c>
      <c r="E29" s="1" t="s">
        <v>114</v>
      </c>
      <c r="F29" s="1" t="s">
        <v>114</v>
      </c>
      <c r="G29" s="1" t="s">
        <v>114</v>
      </c>
    </row>
    <row r="30" spans="1:7">
      <c r="E30" s="10"/>
      <c r="F30" s="10"/>
      <c r="G30" s="10"/>
    </row>
    <row r="31" spans="1:7">
      <c r="A31" s="1" t="s">
        <v>184</v>
      </c>
      <c r="C31" s="7">
        <f>C4</f>
        <v>33</v>
      </c>
      <c r="D31" s="1" t="s">
        <v>169</v>
      </c>
      <c r="E31" s="10">
        <f>E28*C31/100</f>
        <v>2.2275</v>
      </c>
      <c r="F31" s="10"/>
      <c r="G31" s="10">
        <f>G28*C31/100</f>
        <v>16.013114754098364</v>
      </c>
    </row>
    <row r="32" spans="1:7">
      <c r="E32" s="10"/>
      <c r="F32" s="10"/>
      <c r="G32" s="10"/>
    </row>
    <row r="33" spans="1:8">
      <c r="A33" s="1" t="s">
        <v>185</v>
      </c>
      <c r="E33" s="10">
        <f>0.39*E26</f>
        <v>0</v>
      </c>
      <c r="F33" s="10"/>
      <c r="G33" s="10">
        <f>0.39*G26</f>
        <v>7.3805901639344276</v>
      </c>
    </row>
    <row r="34" spans="1:8">
      <c r="E34" s="1" t="s">
        <v>114</v>
      </c>
      <c r="F34" s="10"/>
      <c r="G34" s="1" t="s">
        <v>114</v>
      </c>
    </row>
    <row r="35" spans="1:8">
      <c r="A35" s="1" t="s">
        <v>186</v>
      </c>
      <c r="E35" s="10">
        <f>E31-E33</f>
        <v>2.2275</v>
      </c>
      <c r="F35" s="10"/>
      <c r="G35" s="10">
        <f>G31-G33</f>
        <v>8.6325245901639356</v>
      </c>
    </row>
    <row r="36" spans="1:8">
      <c r="E36" s="10"/>
      <c r="F36" s="10"/>
      <c r="G36" s="10"/>
    </row>
    <row r="37" spans="1:8">
      <c r="A37" s="1" t="s">
        <v>114</v>
      </c>
      <c r="B37" s="1" t="s">
        <v>114</v>
      </c>
      <c r="C37" s="1" t="s">
        <v>114</v>
      </c>
      <c r="D37" s="1" t="s">
        <v>114</v>
      </c>
      <c r="E37" s="1" t="s">
        <v>114</v>
      </c>
      <c r="F37" s="1" t="s">
        <v>114</v>
      </c>
      <c r="G37" s="1" t="s">
        <v>114</v>
      </c>
    </row>
    <row r="38" spans="1:8">
      <c r="E38" s="10"/>
      <c r="F38" s="10"/>
      <c r="G38" s="10"/>
    </row>
    <row r="39" spans="1:8">
      <c r="A39" s="1" t="s">
        <v>187</v>
      </c>
      <c r="E39" s="10">
        <f>E10</f>
        <v>6.75</v>
      </c>
      <c r="F39" s="10"/>
      <c r="G39" s="10">
        <f>G10</f>
        <v>29.6</v>
      </c>
    </row>
    <row r="40" spans="1:8">
      <c r="E40" s="10"/>
      <c r="F40" s="10"/>
      <c r="G40" s="10"/>
    </row>
    <row r="41" spans="1:8">
      <c r="A41" s="1" t="s">
        <v>188</v>
      </c>
      <c r="E41" s="10">
        <f>-E35</f>
        <v>-2.2275</v>
      </c>
      <c r="F41" s="10"/>
      <c r="G41" s="10">
        <f>-G35</f>
        <v>-8.6325245901639356</v>
      </c>
    </row>
    <row r="42" spans="1:8">
      <c r="E42" s="10"/>
      <c r="F42" s="10"/>
      <c r="G42" s="10"/>
    </row>
    <row r="43" spans="1:8">
      <c r="A43" s="1" t="s">
        <v>189</v>
      </c>
      <c r="E43" s="10">
        <f>E39+E41</f>
        <v>4.5225</v>
      </c>
      <c r="F43" s="10"/>
      <c r="G43" s="10">
        <f>G39+G41</f>
        <v>20.967475409836066</v>
      </c>
    </row>
    <row r="45" spans="1:8">
      <c r="A45" s="1" t="s">
        <v>114</v>
      </c>
      <c r="B45" s="1" t="s">
        <v>114</v>
      </c>
      <c r="C45" s="1" t="s">
        <v>114</v>
      </c>
      <c r="D45" s="1" t="s">
        <v>114</v>
      </c>
      <c r="E45" s="1" t="s">
        <v>114</v>
      </c>
      <c r="F45" s="1" t="s">
        <v>114</v>
      </c>
      <c r="G45" s="1" t="s">
        <v>114</v>
      </c>
    </row>
    <row r="47" spans="1:8">
      <c r="A47" s="1" t="s">
        <v>190</v>
      </c>
      <c r="E47" s="10">
        <f>E43/E8</f>
        <v>4.5225</v>
      </c>
      <c r="F47" s="26" t="s">
        <v>169</v>
      </c>
      <c r="G47" s="10">
        <f>G43/G8</f>
        <v>9.6624310644405842</v>
      </c>
      <c r="H47" s="1" t="s">
        <v>169</v>
      </c>
    </row>
    <row r="48" spans="1:8">
      <c r="A48" s="1" t="s">
        <v>107</v>
      </c>
      <c r="B48" s="1" t="s">
        <v>107</v>
      </c>
      <c r="C48" s="1" t="s">
        <v>107</v>
      </c>
      <c r="D48" s="1" t="s">
        <v>107</v>
      </c>
      <c r="E48" s="1" t="s">
        <v>107</v>
      </c>
      <c r="F48" s="1" t="s">
        <v>107</v>
      </c>
      <c r="G48" s="1" t="s">
        <v>107</v>
      </c>
    </row>
    <row r="49" spans="1:7">
      <c r="E49" s="10"/>
      <c r="G49" s="10"/>
    </row>
    <row r="50" spans="1:7">
      <c r="A50" s="1" t="s">
        <v>191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Property Purch</vt:lpstr>
      <vt:lpstr>Payback Ewes</vt:lpstr>
      <vt:lpstr>ERIC</vt:lpstr>
      <vt:lpstr>LEASE</vt:lpstr>
      <vt:lpstr>FIN OPT</vt:lpstr>
      <vt:lpstr>INTEREST</vt:lpstr>
      <vt:lpstr>LOAN SIMPLE</vt:lpstr>
      <vt:lpstr>LOAN PAYMENTS</vt:lpstr>
      <vt:lpstr>FRANKED</vt:lpstr>
      <vt:lpstr>INTERESTRATE</vt:lpstr>
      <vt:lpstr>PRINCIPLE1</vt:lpstr>
      <vt:lpstr>LEASE!Print_Titles</vt:lpstr>
      <vt:lpstr>LEASE!Print_Titles_MI</vt:lpstr>
      <vt:lpstr>REPAYMENT1</vt:lpstr>
      <vt:lpstr>REPPERIOD</vt:lpstr>
      <vt:lpstr>SHEEPBACK</vt:lpstr>
      <vt:lpstr>WOOLSHEAR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 Dunlop</dc:creator>
  <cp:lastModifiedBy>Lloyd Dunlop</cp:lastModifiedBy>
  <dcterms:created xsi:type="dcterms:W3CDTF">2010-10-25T05:20:48Z</dcterms:created>
  <dcterms:modified xsi:type="dcterms:W3CDTF">2015-08-30T06:30:43Z</dcterms:modified>
</cp:coreProperties>
</file>